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\Web\"/>
    </mc:Choice>
  </mc:AlternateContent>
  <bookViews>
    <workbookView xWindow="480" yWindow="420" windowWidth="21797" windowHeight="10774"/>
  </bookViews>
  <sheets>
    <sheet name="ASA16N" sheetId="1" r:id="rId1"/>
    <sheet name="AtmosT" sheetId="2" r:id="rId2"/>
    <sheet name="Vega" sheetId="3" r:id="rId3"/>
    <sheet name="HPNa" sheetId="4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H458" i="4" l="1"/>
  <c r="K455" i="4"/>
  <c r="K445" i="4"/>
  <c r="K434" i="4"/>
  <c r="K425" i="4"/>
  <c r="K414" i="4"/>
  <c r="K458" i="4" s="1"/>
  <c r="K404" i="4"/>
  <c r="K391" i="4"/>
  <c r="K378" i="4"/>
  <c r="K365" i="4"/>
  <c r="K355" i="4"/>
  <c r="K344" i="4"/>
  <c r="K335" i="4"/>
  <c r="K325" i="4"/>
  <c r="K314" i="4"/>
  <c r="K305" i="4"/>
  <c r="K295" i="4"/>
  <c r="K285" i="4"/>
  <c r="K274" i="4"/>
  <c r="K263" i="4"/>
  <c r="K253" i="4"/>
  <c r="K235" i="4"/>
  <c r="K193" i="4"/>
  <c r="K151" i="4"/>
  <c r="K109" i="4"/>
  <c r="K79" i="4"/>
  <c r="K49" i="4"/>
  <c r="S29" i="4"/>
  <c r="W29" i="4" s="1"/>
  <c r="Y29" i="4" s="1"/>
  <c r="S28" i="4"/>
  <c r="W28" i="4" s="1"/>
  <c r="Y28" i="4" s="1"/>
  <c r="S27" i="4"/>
  <c r="W27" i="4" s="1"/>
  <c r="Y27" i="4" s="1"/>
  <c r="W26" i="4"/>
  <c r="Y26" i="4" s="1"/>
  <c r="S26" i="4"/>
  <c r="W25" i="4"/>
  <c r="Y25" i="4" s="1"/>
  <c r="S25" i="4"/>
  <c r="W24" i="4"/>
  <c r="Y24" i="4" s="1"/>
  <c r="S24" i="4"/>
  <c r="Y23" i="4"/>
  <c r="W23" i="4"/>
  <c r="S23" i="4"/>
  <c r="Y22" i="4"/>
  <c r="W22" i="4"/>
  <c r="S22" i="4"/>
  <c r="S21" i="4"/>
  <c r="W21" i="4" s="1"/>
  <c r="Y21" i="4" s="1"/>
  <c r="S20" i="4"/>
  <c r="W20" i="4" s="1"/>
  <c r="Y20" i="4" s="1"/>
  <c r="S19" i="4"/>
  <c r="W19" i="4" s="1"/>
  <c r="Y19" i="4" s="1"/>
  <c r="W18" i="4"/>
  <c r="Y18" i="4" s="1"/>
  <c r="S18" i="4"/>
  <c r="W17" i="4"/>
  <c r="Y17" i="4" s="1"/>
  <c r="S17" i="4"/>
  <c r="W16" i="4"/>
  <c r="Y16" i="4" s="1"/>
  <c r="S16" i="4"/>
  <c r="Y15" i="4"/>
  <c r="W15" i="4"/>
  <c r="S15" i="4"/>
  <c r="Y14" i="4"/>
  <c r="W14" i="4"/>
  <c r="S14" i="4"/>
  <c r="S13" i="4"/>
  <c r="W13" i="4" s="1"/>
  <c r="Y13" i="4" s="1"/>
  <c r="S12" i="4"/>
  <c r="W12" i="4" s="1"/>
  <c r="Y12" i="4" s="1"/>
  <c r="S11" i="4"/>
  <c r="W11" i="4" s="1"/>
  <c r="Y11" i="4" s="1"/>
  <c r="W10" i="4"/>
  <c r="Y10" i="4" s="1"/>
  <c r="S10" i="4"/>
  <c r="W9" i="4"/>
  <c r="Y9" i="4" s="1"/>
  <c r="S9" i="4"/>
  <c r="W8" i="4"/>
  <c r="Y8" i="4" s="1"/>
  <c r="S8" i="4"/>
  <c r="G32" i="3"/>
  <c r="I32" i="3" s="1"/>
  <c r="G31" i="3"/>
  <c r="I31" i="3" s="1"/>
  <c r="F31" i="3"/>
  <c r="I30" i="3"/>
  <c r="G30" i="3"/>
  <c r="F30" i="3"/>
  <c r="G29" i="3"/>
  <c r="I29" i="3" s="1"/>
  <c r="F29" i="3"/>
  <c r="V28" i="3"/>
  <c r="I28" i="3"/>
  <c r="G28" i="3"/>
  <c r="F28" i="3"/>
  <c r="V27" i="3"/>
  <c r="G27" i="3"/>
  <c r="I27" i="3" s="1"/>
  <c r="F27" i="3"/>
  <c r="V26" i="3"/>
  <c r="I26" i="3"/>
  <c r="G26" i="3"/>
  <c r="F26" i="3"/>
  <c r="V25" i="3"/>
  <c r="V24" i="3"/>
  <c r="V23" i="3"/>
  <c r="V22" i="3"/>
  <c r="M22" i="3"/>
  <c r="K22" i="3"/>
  <c r="O22" i="3" s="1"/>
  <c r="T28" i="3" s="1"/>
  <c r="I22" i="3"/>
  <c r="H22" i="3"/>
  <c r="C22" i="3"/>
  <c r="B22" i="3"/>
  <c r="V21" i="3"/>
  <c r="M21" i="3"/>
  <c r="H21" i="3"/>
  <c r="I21" i="3" s="1"/>
  <c r="K21" i="3" s="1"/>
  <c r="O21" i="3" s="1"/>
  <c r="T27" i="3" s="1"/>
  <c r="C21" i="3"/>
  <c r="B21" i="3"/>
  <c r="V20" i="3"/>
  <c r="M20" i="3"/>
  <c r="H20" i="3"/>
  <c r="I20" i="3" s="1"/>
  <c r="K20" i="3" s="1"/>
  <c r="O20" i="3" s="1"/>
  <c r="T26" i="3" s="1"/>
  <c r="C20" i="3"/>
  <c r="B20" i="3"/>
  <c r="V19" i="3"/>
  <c r="M19" i="3"/>
  <c r="I19" i="3"/>
  <c r="K19" i="3" s="1"/>
  <c r="O19" i="3" s="1"/>
  <c r="T25" i="3" s="1"/>
  <c r="H19" i="3"/>
  <c r="C19" i="3"/>
  <c r="B19" i="3"/>
  <c r="V18" i="3"/>
  <c r="M18" i="3"/>
  <c r="I18" i="3"/>
  <c r="K18" i="3" s="1"/>
  <c r="O18" i="3" s="1"/>
  <c r="T24" i="3" s="1"/>
  <c r="H18" i="3"/>
  <c r="C18" i="3"/>
  <c r="B18" i="3"/>
  <c r="V17" i="3"/>
  <c r="H17" i="3"/>
  <c r="I17" i="3" s="1"/>
  <c r="K17" i="3" s="1"/>
  <c r="O17" i="3" s="1"/>
  <c r="T23" i="3" s="1"/>
  <c r="C17" i="3"/>
  <c r="B17" i="3"/>
  <c r="M17" i="3" s="1"/>
  <c r="V16" i="3"/>
  <c r="H16" i="3"/>
  <c r="I16" i="3" s="1"/>
  <c r="K16" i="3" s="1"/>
  <c r="O16" i="3" s="1"/>
  <c r="T22" i="3" s="1"/>
  <c r="C16" i="3"/>
  <c r="B16" i="3"/>
  <c r="M16" i="3" s="1"/>
  <c r="V15" i="3"/>
  <c r="I15" i="3"/>
  <c r="K15" i="3" s="1"/>
  <c r="O15" i="3" s="1"/>
  <c r="T21" i="3" s="1"/>
  <c r="H15" i="3"/>
  <c r="C15" i="3"/>
  <c r="B15" i="3"/>
  <c r="M15" i="3" s="1"/>
  <c r="V14" i="3"/>
  <c r="I14" i="3"/>
  <c r="K14" i="3" s="1"/>
  <c r="H14" i="3"/>
  <c r="C14" i="3"/>
  <c r="B14" i="3"/>
  <c r="M14" i="3" s="1"/>
  <c r="V13" i="3"/>
  <c r="H13" i="3"/>
  <c r="I13" i="3" s="1"/>
  <c r="K13" i="3" s="1"/>
  <c r="C13" i="3"/>
  <c r="B13" i="3"/>
  <c r="M13" i="3" s="1"/>
  <c r="V12" i="3"/>
  <c r="H12" i="3"/>
  <c r="I12" i="3" s="1"/>
  <c r="K12" i="3" s="1"/>
  <c r="C12" i="3"/>
  <c r="B12" i="3"/>
  <c r="M12" i="3" s="1"/>
  <c r="V11" i="3"/>
  <c r="M11" i="3"/>
  <c r="H11" i="3"/>
  <c r="I11" i="3" s="1"/>
  <c r="K11" i="3" s="1"/>
  <c r="O11" i="3" s="1"/>
  <c r="T13" i="3" s="1"/>
  <c r="C11" i="3"/>
  <c r="B11" i="3"/>
  <c r="V10" i="3"/>
  <c r="M10" i="3"/>
  <c r="H10" i="3"/>
  <c r="I10" i="3" s="1"/>
  <c r="K10" i="3" s="1"/>
  <c r="O10" i="3" s="1"/>
  <c r="T11" i="3" s="1"/>
  <c r="C10" i="3"/>
  <c r="B10" i="3"/>
  <c r="V9" i="3"/>
  <c r="I9" i="3"/>
  <c r="K9" i="3" s="1"/>
  <c r="O9" i="3" s="1"/>
  <c r="T9" i="3" s="1"/>
  <c r="H9" i="3"/>
  <c r="C9" i="3"/>
  <c r="B9" i="3"/>
  <c r="M9" i="3" s="1"/>
  <c r="V8" i="3"/>
  <c r="I8" i="3"/>
  <c r="K8" i="3" s="1"/>
  <c r="H8" i="3"/>
  <c r="C8" i="3"/>
  <c r="B8" i="3"/>
  <c r="M8" i="3" s="1"/>
  <c r="V7" i="3"/>
  <c r="M7" i="3"/>
  <c r="K7" i="3"/>
  <c r="O7" i="3" s="1"/>
  <c r="T5" i="3" s="1"/>
  <c r="I7" i="3"/>
  <c r="H7" i="3"/>
  <c r="C7" i="3"/>
  <c r="B7" i="3"/>
  <c r="V6" i="3"/>
  <c r="O13" i="3" l="1"/>
  <c r="T17" i="3" s="1"/>
  <c r="O14" i="3"/>
  <c r="T19" i="3" s="1"/>
  <c r="O8" i="3"/>
  <c r="T7" i="3" s="1"/>
  <c r="O12" i="3"/>
  <c r="T15" i="3" s="1"/>
  <c r="G38" i="1" l="1"/>
  <c r="G39" i="1" s="1"/>
  <c r="S89" i="1" l="1"/>
  <c r="R89" i="1"/>
  <c r="Q89" i="1"/>
  <c r="P89" i="1"/>
  <c r="O89" i="1"/>
  <c r="N89" i="1"/>
  <c r="M89" i="1"/>
  <c r="L89" i="1"/>
  <c r="K89" i="1"/>
  <c r="J89" i="1"/>
  <c r="E89" i="1"/>
  <c r="E160" i="1"/>
  <c r="E159" i="1"/>
  <c r="E158" i="1"/>
  <c r="E135" i="1"/>
  <c r="I59" i="1"/>
  <c r="G59" i="1"/>
  <c r="L49" i="1"/>
  <c r="K49" i="1"/>
  <c r="J49" i="1"/>
  <c r="I49" i="1"/>
  <c r="H49" i="1"/>
  <c r="G49" i="1"/>
  <c r="F49" i="1"/>
  <c r="E49" i="1"/>
  <c r="D49" i="1"/>
  <c r="C49" i="1"/>
  <c r="I40" i="1"/>
  <c r="H40" i="1"/>
  <c r="G40" i="1"/>
  <c r="F40" i="1"/>
  <c r="D40" i="1"/>
  <c r="C40" i="1"/>
  <c r="C39" i="1"/>
  <c r="L38" i="1"/>
  <c r="L39" i="1" s="1"/>
  <c r="K38" i="1"/>
  <c r="K39" i="1" s="1"/>
  <c r="J38" i="1"/>
  <c r="J39" i="1" s="1"/>
  <c r="I38" i="1"/>
  <c r="I39" i="1" s="1"/>
  <c r="H38" i="1"/>
  <c r="H39" i="1" s="1"/>
  <c r="F38" i="1"/>
  <c r="F39" i="1" s="1"/>
  <c r="E38" i="1"/>
  <c r="D38" i="1"/>
  <c r="D39" i="1" s="1"/>
  <c r="S24" i="1"/>
  <c r="S23" i="1"/>
  <c r="P22" i="1"/>
  <c r="S22" i="1" s="1"/>
  <c r="P21" i="1"/>
  <c r="S21" i="1" s="1"/>
  <c r="J21" i="1"/>
  <c r="E21" i="1"/>
  <c r="P20" i="1"/>
  <c r="S20" i="1" s="1"/>
  <c r="S19" i="1"/>
  <c r="R19" i="1"/>
  <c r="P18" i="1"/>
  <c r="S18" i="1" s="1"/>
  <c r="P17" i="1"/>
  <c r="S17" i="1" s="1"/>
  <c r="S16" i="1"/>
  <c r="R16" i="1"/>
  <c r="G16" i="1"/>
  <c r="E16" i="1" s="1"/>
  <c r="E14" i="1"/>
  <c r="E11" i="1"/>
  <c r="K31" i="1" s="1"/>
  <c r="K9" i="1"/>
  <c r="J9" i="1"/>
  <c r="I9" i="1"/>
  <c r="E8" i="1"/>
  <c r="E7" i="1"/>
  <c r="E10" i="1" s="1"/>
  <c r="R20" i="1" l="1"/>
  <c r="D31" i="1"/>
  <c r="V41" i="1" s="1"/>
  <c r="H31" i="1"/>
  <c r="H33" i="1" s="1"/>
  <c r="H34" i="1" s="1"/>
  <c r="L31" i="1"/>
  <c r="L33" i="1" s="1"/>
  <c r="L34" i="1" s="1"/>
  <c r="B90" i="1"/>
  <c r="D89" i="1"/>
  <c r="E138" i="1"/>
  <c r="E140" i="1"/>
  <c r="E142" i="1"/>
  <c r="E144" i="1"/>
  <c r="E146" i="1"/>
  <c r="E148" i="1"/>
  <c r="E150" i="1"/>
  <c r="E152" i="1"/>
  <c r="E154" i="1"/>
  <c r="E156" i="1"/>
  <c r="R17" i="1"/>
  <c r="R22" i="1"/>
  <c r="F31" i="1"/>
  <c r="F33" i="1" s="1"/>
  <c r="F34" i="1" s="1"/>
  <c r="J31" i="1"/>
  <c r="J33" i="1" s="1"/>
  <c r="J34" i="1" s="1"/>
  <c r="E137" i="1"/>
  <c r="E139" i="1"/>
  <c r="E141" i="1"/>
  <c r="E143" i="1"/>
  <c r="E145" i="1"/>
  <c r="E147" i="1"/>
  <c r="E149" i="1"/>
  <c r="E151" i="1"/>
  <c r="E153" i="1"/>
  <c r="E155" i="1"/>
  <c r="E157" i="1"/>
  <c r="K33" i="1"/>
  <c r="K34" i="1" s="1"/>
  <c r="E12" i="1"/>
  <c r="E13" i="1"/>
  <c r="C162" i="1"/>
  <c r="E136" i="1"/>
  <c r="G7" i="1"/>
  <c r="R18" i="1"/>
  <c r="R21" i="1"/>
  <c r="C31" i="1"/>
  <c r="E31" i="1"/>
  <c r="G31" i="1"/>
  <c r="I31" i="1"/>
  <c r="C89" i="1"/>
  <c r="B89" i="1"/>
  <c r="D33" i="1"/>
  <c r="D34" i="1" s="1"/>
  <c r="E134" i="1"/>
  <c r="E162" i="1" l="1"/>
  <c r="I33" i="1"/>
  <c r="I34" i="1" s="1"/>
  <c r="E33" i="1"/>
  <c r="E34" i="1" s="1"/>
  <c r="H86" i="1"/>
  <c r="I86" i="1" s="1"/>
  <c r="AF86" i="1" s="1"/>
  <c r="F86" i="1"/>
  <c r="G86" i="1" s="1"/>
  <c r="V86" i="1" s="1"/>
  <c r="H84" i="1"/>
  <c r="I84" i="1" s="1"/>
  <c r="AF84" i="1" s="1"/>
  <c r="F84" i="1"/>
  <c r="G84" i="1" s="1"/>
  <c r="V84" i="1" s="1"/>
  <c r="H82" i="1"/>
  <c r="I82" i="1" s="1"/>
  <c r="AF82" i="1" s="1"/>
  <c r="F82" i="1"/>
  <c r="G82" i="1" s="1"/>
  <c r="V82" i="1" s="1"/>
  <c r="H80" i="1"/>
  <c r="I80" i="1" s="1"/>
  <c r="AF80" i="1" s="1"/>
  <c r="F80" i="1"/>
  <c r="G80" i="1" s="1"/>
  <c r="V80" i="1" s="1"/>
  <c r="H78" i="1"/>
  <c r="I78" i="1" s="1"/>
  <c r="AF78" i="1" s="1"/>
  <c r="F78" i="1"/>
  <c r="G78" i="1" s="1"/>
  <c r="V78" i="1" s="1"/>
  <c r="H76" i="1"/>
  <c r="I76" i="1" s="1"/>
  <c r="F76" i="1"/>
  <c r="G76" i="1" s="1"/>
  <c r="H74" i="1"/>
  <c r="I74" i="1" s="1"/>
  <c r="F74" i="1"/>
  <c r="G74" i="1" s="1"/>
  <c r="H72" i="1"/>
  <c r="I72" i="1" s="1"/>
  <c r="F72" i="1"/>
  <c r="G72" i="1" s="1"/>
  <c r="H70" i="1"/>
  <c r="I70" i="1" s="1"/>
  <c r="F70" i="1"/>
  <c r="G70" i="1" s="1"/>
  <c r="H68" i="1"/>
  <c r="I68" i="1" s="1"/>
  <c r="F68" i="1"/>
  <c r="G68" i="1" s="1"/>
  <c r="H66" i="1"/>
  <c r="I66" i="1" s="1"/>
  <c r="F66" i="1"/>
  <c r="G66" i="1" s="1"/>
  <c r="H64" i="1"/>
  <c r="I64" i="1" s="1"/>
  <c r="F64" i="1"/>
  <c r="G64" i="1" s="1"/>
  <c r="F87" i="1"/>
  <c r="G87" i="1" s="1"/>
  <c r="V87" i="1" s="1"/>
  <c r="F85" i="1"/>
  <c r="G85" i="1" s="1"/>
  <c r="V85" i="1" s="1"/>
  <c r="F83" i="1"/>
  <c r="G83" i="1" s="1"/>
  <c r="V83" i="1" s="1"/>
  <c r="F81" i="1"/>
  <c r="G81" i="1" s="1"/>
  <c r="V81" i="1" s="1"/>
  <c r="F79" i="1"/>
  <c r="G79" i="1" s="1"/>
  <c r="V79" i="1" s="1"/>
  <c r="H77" i="1"/>
  <c r="I77" i="1" s="1"/>
  <c r="H75" i="1"/>
  <c r="I75" i="1" s="1"/>
  <c r="H73" i="1"/>
  <c r="I73" i="1" s="1"/>
  <c r="H71" i="1"/>
  <c r="I71" i="1" s="1"/>
  <c r="H69" i="1"/>
  <c r="I69" i="1" s="1"/>
  <c r="H67" i="1"/>
  <c r="I67" i="1" s="1"/>
  <c r="H65" i="1"/>
  <c r="I65" i="1" s="1"/>
  <c r="H63" i="1"/>
  <c r="I63" i="1" s="1"/>
  <c r="H62" i="1"/>
  <c r="I62" i="1" s="1"/>
  <c r="F62" i="1"/>
  <c r="G62" i="1" s="1"/>
  <c r="H87" i="1"/>
  <c r="I87" i="1" s="1"/>
  <c r="AF87" i="1" s="1"/>
  <c r="H85" i="1"/>
  <c r="I85" i="1" s="1"/>
  <c r="AF85" i="1" s="1"/>
  <c r="H83" i="1"/>
  <c r="I83" i="1" s="1"/>
  <c r="AF83" i="1" s="1"/>
  <c r="H81" i="1"/>
  <c r="I81" i="1" s="1"/>
  <c r="AF81" i="1" s="1"/>
  <c r="H79" i="1"/>
  <c r="I79" i="1" s="1"/>
  <c r="AF79" i="1" s="1"/>
  <c r="F77" i="1"/>
  <c r="G77" i="1" s="1"/>
  <c r="F75" i="1"/>
  <c r="G75" i="1" s="1"/>
  <c r="F73" i="1"/>
  <c r="G73" i="1" s="1"/>
  <c r="F71" i="1"/>
  <c r="G71" i="1" s="1"/>
  <c r="F69" i="1"/>
  <c r="G69" i="1" s="1"/>
  <c r="F67" i="1"/>
  <c r="G67" i="1" s="1"/>
  <c r="F65" i="1"/>
  <c r="G65" i="1" s="1"/>
  <c r="F63" i="1"/>
  <c r="G63" i="1" s="1"/>
  <c r="H61" i="1"/>
  <c r="F61" i="1"/>
  <c r="AB56" i="1"/>
  <c r="G33" i="1"/>
  <c r="G34" i="1" s="1"/>
  <c r="C33" i="1"/>
  <c r="C34" i="1" s="1"/>
  <c r="K41" i="1"/>
  <c r="K42" i="1" s="1"/>
  <c r="I41" i="1"/>
  <c r="I42" i="1" s="1"/>
  <c r="G41" i="1"/>
  <c r="G42" i="1" s="1"/>
  <c r="E41" i="1"/>
  <c r="E42" i="1" s="1"/>
  <c r="C41" i="1"/>
  <c r="L41" i="1"/>
  <c r="L42" i="1" s="1"/>
  <c r="J41" i="1"/>
  <c r="J42" i="1" s="1"/>
  <c r="H41" i="1"/>
  <c r="H42" i="1" s="1"/>
  <c r="F41" i="1"/>
  <c r="F42" i="1" s="1"/>
  <c r="D41" i="1"/>
  <c r="C42" i="1" l="1"/>
  <c r="K32" i="1"/>
  <c r="D32" i="1"/>
  <c r="H32" i="1"/>
  <c r="L32" i="1"/>
  <c r="F32" i="1"/>
  <c r="J32" i="1"/>
  <c r="F89" i="1"/>
  <c r="G61" i="1"/>
  <c r="AC63" i="1"/>
  <c r="AA63" i="1"/>
  <c r="Y63" i="1"/>
  <c r="W63" i="1"/>
  <c r="U63" i="1"/>
  <c r="Z63" i="1"/>
  <c r="V63" i="1"/>
  <c r="AB63" i="1"/>
  <c r="X63" i="1"/>
  <c r="T63" i="1"/>
  <c r="AC67" i="1"/>
  <c r="AA67" i="1"/>
  <c r="Y67" i="1"/>
  <c r="W67" i="1"/>
  <c r="U67" i="1"/>
  <c r="Z67" i="1"/>
  <c r="V67" i="1"/>
  <c r="AB67" i="1"/>
  <c r="X67" i="1"/>
  <c r="T67" i="1"/>
  <c r="AC71" i="1"/>
  <c r="AA71" i="1"/>
  <c r="Y71" i="1"/>
  <c r="W71" i="1"/>
  <c r="U71" i="1"/>
  <c r="Z71" i="1"/>
  <c r="V71" i="1"/>
  <c r="AB71" i="1"/>
  <c r="X71" i="1"/>
  <c r="T71" i="1"/>
  <c r="AC75" i="1"/>
  <c r="AA75" i="1"/>
  <c r="Y75" i="1"/>
  <c r="W75" i="1"/>
  <c r="U75" i="1"/>
  <c r="Z75" i="1"/>
  <c r="V75" i="1"/>
  <c r="AB75" i="1"/>
  <c r="X75" i="1"/>
  <c r="T75" i="1"/>
  <c r="AL62" i="1"/>
  <c r="AJ62" i="1"/>
  <c r="AH62" i="1"/>
  <c r="AF62" i="1"/>
  <c r="AD62" i="1"/>
  <c r="AK62" i="1"/>
  <c r="AG62" i="1"/>
  <c r="AM62" i="1"/>
  <c r="AI62" i="1"/>
  <c r="AE62" i="1"/>
  <c r="AM65" i="1"/>
  <c r="AK65" i="1"/>
  <c r="AI65" i="1"/>
  <c r="AG65" i="1"/>
  <c r="AE65" i="1"/>
  <c r="AL65" i="1"/>
  <c r="AH65" i="1"/>
  <c r="AD65" i="1"/>
  <c r="AJ65" i="1"/>
  <c r="AF65" i="1"/>
  <c r="AM69" i="1"/>
  <c r="AK69" i="1"/>
  <c r="AI69" i="1"/>
  <c r="AG69" i="1"/>
  <c r="AE69" i="1"/>
  <c r="AL69" i="1"/>
  <c r="AH69" i="1"/>
  <c r="AD69" i="1"/>
  <c r="AJ69" i="1"/>
  <c r="AF69" i="1"/>
  <c r="AM73" i="1"/>
  <c r="AK73" i="1"/>
  <c r="AI73" i="1"/>
  <c r="AG73" i="1"/>
  <c r="AE73" i="1"/>
  <c r="AL73" i="1"/>
  <c r="AH73" i="1"/>
  <c r="AD73" i="1"/>
  <c r="AJ73" i="1"/>
  <c r="AF73" i="1"/>
  <c r="AM77" i="1"/>
  <c r="AK77" i="1"/>
  <c r="AI77" i="1"/>
  <c r="AG77" i="1"/>
  <c r="AE77" i="1"/>
  <c r="AL77" i="1"/>
  <c r="AH77" i="1"/>
  <c r="AD77" i="1"/>
  <c r="AJ77" i="1"/>
  <c r="AF77" i="1"/>
  <c r="AB64" i="1"/>
  <c r="Z64" i="1"/>
  <c r="X64" i="1"/>
  <c r="V64" i="1"/>
  <c r="T64" i="1"/>
  <c r="AC64" i="1"/>
  <c r="Y64" i="1"/>
  <c r="U64" i="1"/>
  <c r="AA64" i="1"/>
  <c r="W64" i="1"/>
  <c r="AB66" i="1"/>
  <c r="Z66" i="1"/>
  <c r="X66" i="1"/>
  <c r="V66" i="1"/>
  <c r="T66" i="1"/>
  <c r="AC66" i="1"/>
  <c r="Y66" i="1"/>
  <c r="U66" i="1"/>
  <c r="AA66" i="1"/>
  <c r="W66" i="1"/>
  <c r="AB68" i="1"/>
  <c r="Z68" i="1"/>
  <c r="X68" i="1"/>
  <c r="V68" i="1"/>
  <c r="T68" i="1"/>
  <c r="AC68" i="1"/>
  <c r="Y68" i="1"/>
  <c r="U68" i="1"/>
  <c r="AA68" i="1"/>
  <c r="W68" i="1"/>
  <c r="AB70" i="1"/>
  <c r="Z70" i="1"/>
  <c r="X70" i="1"/>
  <c r="V70" i="1"/>
  <c r="T70" i="1"/>
  <c r="AC70" i="1"/>
  <c r="Y70" i="1"/>
  <c r="U70" i="1"/>
  <c r="AA70" i="1"/>
  <c r="W70" i="1"/>
  <c r="AB72" i="1"/>
  <c r="Z72" i="1"/>
  <c r="X72" i="1"/>
  <c r="V72" i="1"/>
  <c r="T72" i="1"/>
  <c r="AC72" i="1"/>
  <c r="Y72" i="1"/>
  <c r="U72" i="1"/>
  <c r="AA72" i="1"/>
  <c r="W72" i="1"/>
  <c r="AB74" i="1"/>
  <c r="Z74" i="1"/>
  <c r="X74" i="1"/>
  <c r="V74" i="1"/>
  <c r="T74" i="1"/>
  <c r="AC74" i="1"/>
  <c r="Y74" i="1"/>
  <c r="U74" i="1"/>
  <c r="AA74" i="1"/>
  <c r="W74" i="1"/>
  <c r="AB76" i="1"/>
  <c r="Z76" i="1"/>
  <c r="X76" i="1"/>
  <c r="V76" i="1"/>
  <c r="T76" i="1"/>
  <c r="AC76" i="1"/>
  <c r="Y76" i="1"/>
  <c r="U76" i="1"/>
  <c r="AA76" i="1"/>
  <c r="W76" i="1"/>
  <c r="D42" i="1"/>
  <c r="Q26" i="1"/>
  <c r="I61" i="1"/>
  <c r="H89" i="1"/>
  <c r="AC65" i="1"/>
  <c r="AA65" i="1"/>
  <c r="Y65" i="1"/>
  <c r="W65" i="1"/>
  <c r="U65" i="1"/>
  <c r="Z65" i="1"/>
  <c r="V65" i="1"/>
  <c r="AB65" i="1"/>
  <c r="X65" i="1"/>
  <c r="T65" i="1"/>
  <c r="AC69" i="1"/>
  <c r="AA69" i="1"/>
  <c r="Y69" i="1"/>
  <c r="W69" i="1"/>
  <c r="U69" i="1"/>
  <c r="Z69" i="1"/>
  <c r="V69" i="1"/>
  <c r="AB69" i="1"/>
  <c r="X69" i="1"/>
  <c r="T69" i="1"/>
  <c r="AC73" i="1"/>
  <c r="AA73" i="1"/>
  <c r="Y73" i="1"/>
  <c r="W73" i="1"/>
  <c r="U73" i="1"/>
  <c r="Z73" i="1"/>
  <c r="V73" i="1"/>
  <c r="AB73" i="1"/>
  <c r="X73" i="1"/>
  <c r="T73" i="1"/>
  <c r="AC77" i="1"/>
  <c r="AA77" i="1"/>
  <c r="Y77" i="1"/>
  <c r="W77" i="1"/>
  <c r="U77" i="1"/>
  <c r="Z77" i="1"/>
  <c r="V77" i="1"/>
  <c r="AB77" i="1"/>
  <c r="X77" i="1"/>
  <c r="T77" i="1"/>
  <c r="AB62" i="1"/>
  <c r="Z62" i="1"/>
  <c r="X62" i="1"/>
  <c r="AC62" i="1"/>
  <c r="Y62" i="1"/>
  <c r="V62" i="1"/>
  <c r="T62" i="1"/>
  <c r="AA62" i="1"/>
  <c r="W62" i="1"/>
  <c r="U62" i="1"/>
  <c r="AM63" i="1"/>
  <c r="AK63" i="1"/>
  <c r="AI63" i="1"/>
  <c r="AG63" i="1"/>
  <c r="AE63" i="1"/>
  <c r="AL63" i="1"/>
  <c r="AH63" i="1"/>
  <c r="AD63" i="1"/>
  <c r="AJ63" i="1"/>
  <c r="AF63" i="1"/>
  <c r="AM67" i="1"/>
  <c r="AK67" i="1"/>
  <c r="AI67" i="1"/>
  <c r="AG67" i="1"/>
  <c r="AE67" i="1"/>
  <c r="AL67" i="1"/>
  <c r="AH67" i="1"/>
  <c r="AD67" i="1"/>
  <c r="AJ67" i="1"/>
  <c r="AF67" i="1"/>
  <c r="AM71" i="1"/>
  <c r="AK71" i="1"/>
  <c r="AI71" i="1"/>
  <c r="AG71" i="1"/>
  <c r="AE71" i="1"/>
  <c r="AL71" i="1"/>
  <c r="AH71" i="1"/>
  <c r="AD71" i="1"/>
  <c r="AJ71" i="1"/>
  <c r="AF71" i="1"/>
  <c r="AM75" i="1"/>
  <c r="AK75" i="1"/>
  <c r="AI75" i="1"/>
  <c r="AG75" i="1"/>
  <c r="AE75" i="1"/>
  <c r="AL75" i="1"/>
  <c r="AH75" i="1"/>
  <c r="AD75" i="1"/>
  <c r="AJ75" i="1"/>
  <c r="AF75" i="1"/>
  <c r="AL64" i="1"/>
  <c r="AJ64" i="1"/>
  <c r="AH64" i="1"/>
  <c r="AF64" i="1"/>
  <c r="AD64" i="1"/>
  <c r="AK64" i="1"/>
  <c r="AG64" i="1"/>
  <c r="AM64" i="1"/>
  <c r="AI64" i="1"/>
  <c r="AE64" i="1"/>
  <c r="AL66" i="1"/>
  <c r="AJ66" i="1"/>
  <c r="AH66" i="1"/>
  <c r="AF66" i="1"/>
  <c r="AD66" i="1"/>
  <c r="AK66" i="1"/>
  <c r="AG66" i="1"/>
  <c r="AM66" i="1"/>
  <c r="AI66" i="1"/>
  <c r="AE66" i="1"/>
  <c r="AL68" i="1"/>
  <c r="AJ68" i="1"/>
  <c r="AH68" i="1"/>
  <c r="AF68" i="1"/>
  <c r="AD68" i="1"/>
  <c r="AK68" i="1"/>
  <c r="AG68" i="1"/>
  <c r="AM68" i="1"/>
  <c r="AI68" i="1"/>
  <c r="AE68" i="1"/>
  <c r="AL70" i="1"/>
  <c r="AJ70" i="1"/>
  <c r="AH70" i="1"/>
  <c r="AF70" i="1"/>
  <c r="AD70" i="1"/>
  <c r="AK70" i="1"/>
  <c r="AG70" i="1"/>
  <c r="AM70" i="1"/>
  <c r="AI70" i="1"/>
  <c r="AE70" i="1"/>
  <c r="AL72" i="1"/>
  <c r="AJ72" i="1"/>
  <c r="AH72" i="1"/>
  <c r="AF72" i="1"/>
  <c r="AD72" i="1"/>
  <c r="AK72" i="1"/>
  <c r="AG72" i="1"/>
  <c r="AM72" i="1"/>
  <c r="AI72" i="1"/>
  <c r="AE72" i="1"/>
  <c r="AL74" i="1"/>
  <c r="AJ74" i="1"/>
  <c r="AH74" i="1"/>
  <c r="AF74" i="1"/>
  <c r="AD74" i="1"/>
  <c r="AK74" i="1"/>
  <c r="AG74" i="1"/>
  <c r="AM74" i="1"/>
  <c r="AI74" i="1"/>
  <c r="AE74" i="1"/>
  <c r="AL76" i="1"/>
  <c r="AJ76" i="1"/>
  <c r="AH76" i="1"/>
  <c r="AF76" i="1"/>
  <c r="AD76" i="1"/>
  <c r="AK76" i="1"/>
  <c r="AG76" i="1"/>
  <c r="AM76" i="1"/>
  <c r="AI76" i="1"/>
  <c r="AE76" i="1"/>
  <c r="E32" i="1"/>
  <c r="I32" i="1"/>
  <c r="C32" i="1"/>
  <c r="G32" i="1"/>
  <c r="AM61" i="1" l="1"/>
  <c r="AM89" i="1" s="1"/>
  <c r="L44" i="1" s="1"/>
  <c r="L47" i="1" s="1"/>
  <c r="AK61" i="1"/>
  <c r="AK89" i="1" s="1"/>
  <c r="J44" i="1" s="1"/>
  <c r="J47" i="1" s="1"/>
  <c r="AI61" i="1"/>
  <c r="AI89" i="1" s="1"/>
  <c r="H44" i="1" s="1"/>
  <c r="H47" i="1" s="1"/>
  <c r="AG61" i="1"/>
  <c r="AG89" i="1" s="1"/>
  <c r="F44" i="1" s="1"/>
  <c r="F47" i="1" s="1"/>
  <c r="AE61" i="1"/>
  <c r="AE89" i="1" s="1"/>
  <c r="D44" i="1" s="1"/>
  <c r="D47" i="1" s="1"/>
  <c r="AL61" i="1"/>
  <c r="AL89" i="1" s="1"/>
  <c r="K44" i="1" s="1"/>
  <c r="K47" i="1" s="1"/>
  <c r="AJ61" i="1"/>
  <c r="AJ89" i="1" s="1"/>
  <c r="I44" i="1" s="1"/>
  <c r="I47" i="1" s="1"/>
  <c r="AH61" i="1"/>
  <c r="AH89" i="1" s="1"/>
  <c r="G44" i="1" s="1"/>
  <c r="G47" i="1" s="1"/>
  <c r="AF61" i="1"/>
  <c r="AF89" i="1" s="1"/>
  <c r="E44" i="1" s="1"/>
  <c r="E47" i="1" s="1"/>
  <c r="AD61" i="1"/>
  <c r="AD89" i="1" s="1"/>
  <c r="C44" i="1" s="1"/>
  <c r="C47" i="1" s="1"/>
  <c r="G89" i="1"/>
  <c r="AC61" i="1"/>
  <c r="AC89" i="1" s="1"/>
  <c r="AA61" i="1"/>
  <c r="AA89" i="1" s="1"/>
  <c r="Y61" i="1"/>
  <c r="Y89" i="1" s="1"/>
  <c r="W61" i="1"/>
  <c r="W89" i="1" s="1"/>
  <c r="U61" i="1"/>
  <c r="U89" i="1" s="1"/>
  <c r="AB61" i="1"/>
  <c r="AB89" i="1" s="1"/>
  <c r="Z61" i="1"/>
  <c r="Z89" i="1" s="1"/>
  <c r="X61" i="1"/>
  <c r="X89" i="1" s="1"/>
  <c r="V61" i="1"/>
  <c r="V89" i="1" s="1"/>
  <c r="T61" i="1"/>
  <c r="T89" i="1" s="1"/>
  <c r="E51" i="1" l="1"/>
  <c r="E45" i="1"/>
  <c r="I51" i="1"/>
  <c r="I45" i="1"/>
  <c r="D51" i="1"/>
  <c r="D45" i="1"/>
  <c r="H51" i="1"/>
  <c r="H45" i="1"/>
  <c r="L51" i="1"/>
  <c r="L45" i="1"/>
  <c r="C51" i="1"/>
  <c r="C45" i="1"/>
  <c r="G51" i="1"/>
  <c r="G45" i="1"/>
  <c r="K51" i="1"/>
  <c r="K45" i="1"/>
  <c r="F51" i="1"/>
  <c r="F45" i="1"/>
  <c r="J51" i="1"/>
  <c r="J45" i="1"/>
  <c r="J52" i="1" l="1"/>
  <c r="J50" i="1"/>
  <c r="J54" i="1" s="1"/>
  <c r="J55" i="1" s="1"/>
  <c r="J48" i="1"/>
  <c r="F52" i="1"/>
  <c r="F50" i="1"/>
  <c r="F54" i="1" s="1"/>
  <c r="F55" i="1" s="1"/>
  <c r="F48" i="1"/>
  <c r="K52" i="1"/>
  <c r="K50" i="1"/>
  <c r="K54" i="1" s="1"/>
  <c r="K55" i="1" s="1"/>
  <c r="K48" i="1"/>
  <c r="G52" i="1"/>
  <c r="G50" i="1"/>
  <c r="G54" i="1" s="1"/>
  <c r="G55" i="1" s="1"/>
  <c r="G48" i="1"/>
  <c r="C52" i="1"/>
  <c r="C50" i="1"/>
  <c r="C54" i="1" s="1"/>
  <c r="C55" i="1" s="1"/>
  <c r="C48" i="1"/>
  <c r="L52" i="1"/>
  <c r="L50" i="1"/>
  <c r="L54" i="1" s="1"/>
  <c r="L55" i="1" s="1"/>
  <c r="L48" i="1"/>
  <c r="H52" i="1"/>
  <c r="H50" i="1"/>
  <c r="H54" i="1" s="1"/>
  <c r="H55" i="1" s="1"/>
  <c r="H48" i="1"/>
  <c r="D52" i="1"/>
  <c r="D50" i="1"/>
  <c r="D54" i="1" s="1"/>
  <c r="D55" i="1" s="1"/>
  <c r="D48" i="1"/>
  <c r="I52" i="1"/>
  <c r="I50" i="1"/>
  <c r="I54" i="1" s="1"/>
  <c r="I55" i="1" s="1"/>
  <c r="I48" i="1"/>
  <c r="E52" i="1"/>
  <c r="E50" i="1"/>
  <c r="E54" i="1" s="1"/>
  <c r="E55" i="1" s="1"/>
  <c r="E48" i="1"/>
</calcChain>
</file>

<file path=xl/sharedStrings.xml><?xml version="1.0" encoding="utf-8"?>
<sst xmlns="http://schemas.openxmlformats.org/spreadsheetml/2006/main" count="312" uniqueCount="229">
  <si>
    <t>CCD and Telescope Performance</t>
  </si>
  <si>
    <t>Sky Background</t>
  </si>
  <si>
    <t>HPNa pollution</t>
  </si>
  <si>
    <t>References:</t>
  </si>
  <si>
    <t>Green cells are variables</t>
  </si>
  <si>
    <t>High Desert</t>
  </si>
  <si>
    <t>The Handbook of Astronomical Image Processing, R Berry, J Burnell, Richmond, Willmann-Bell 2005</t>
  </si>
  <si>
    <t>Rural</t>
  </si>
  <si>
    <t>CCD Manufacturer's spec sheets</t>
  </si>
  <si>
    <t>Suburban</t>
  </si>
  <si>
    <t>H. Henniger, O. Wilfert, An introduction to free-space optical communications, 2010</t>
  </si>
  <si>
    <t>City</t>
  </si>
  <si>
    <t>Colina, 1996 Absolute Flux Calibrated Spectrum of Vega, Inst Sci Rept CAL/SCS-008</t>
  </si>
  <si>
    <t>Moon-V full</t>
  </si>
  <si>
    <t>Lowtran 7</t>
  </si>
  <si>
    <t>Aperture</t>
  </si>
  <si>
    <t>Inches</t>
  </si>
  <si>
    <t>mm</t>
  </si>
  <si>
    <t>Area cm^2</t>
  </si>
  <si>
    <t>Obstruction</t>
  </si>
  <si>
    <t>corrector</t>
  </si>
  <si>
    <t>Focal length</t>
  </si>
  <si>
    <t>F#</t>
  </si>
  <si>
    <t>Plate scale</t>
  </si>
  <si>
    <t>arc sec/mm</t>
  </si>
  <si>
    <t>Airy disk [5500]</t>
  </si>
  <si>
    <t>um</t>
  </si>
  <si>
    <t>Extended object of A[ arcsec^2], surface brightness S [mag/arcsec^2] or magnitude M</t>
  </si>
  <si>
    <t>FWHM</t>
  </si>
  <si>
    <t>For objects within the  FOV use M and replace seeing with sqrt(seeing^2+A), total flux is calculated</t>
  </si>
  <si>
    <t>Mag</t>
  </si>
  <si>
    <t>zero magnitude ratio</t>
  </si>
  <si>
    <t>For large objects set magnitude to S and seeing to  1 arcsec. Gives S/N for 1 arcsec^2 area</t>
  </si>
  <si>
    <t>Seeing [arc-sec]</t>
  </si>
  <si>
    <t>A</t>
  </si>
  <si>
    <t>M</t>
  </si>
  <si>
    <t>S</t>
  </si>
  <si>
    <t>sqrt(seeing^2+A)</t>
  </si>
  <si>
    <t>Zenith Angle</t>
  </si>
  <si>
    <t>Air Mass</t>
  </si>
  <si>
    <t>mars(max)</t>
  </si>
  <si>
    <t>Optical Efficiency</t>
  </si>
  <si>
    <t>(two reflections)</t>
  </si>
  <si>
    <t>M13</t>
  </si>
  <si>
    <t>Total Exposure</t>
  </si>
  <si>
    <t>Seconds</t>
  </si>
  <si>
    <t>M33</t>
  </si>
  <si>
    <t>Number of Exposures</t>
  </si>
  <si>
    <t>M81</t>
  </si>
  <si>
    <t>Aperture Factor</t>
  </si>
  <si>
    <t>Ratio of star to sky annulus area</t>
  </si>
  <si>
    <t>M31</t>
  </si>
  <si>
    <t>Sky Glow</t>
  </si>
  <si>
    <t>Mag/sq arc sec</t>
  </si>
  <si>
    <t>Hpna</t>
  </si>
  <si>
    <t>fraction of sky glow as HPNa</t>
  </si>
  <si>
    <t>M57</t>
  </si>
  <si>
    <t>Ambient Temperature</t>
  </si>
  <si>
    <t>Degrees C</t>
  </si>
  <si>
    <t>not implemented</t>
  </si>
  <si>
    <t>M104</t>
  </si>
  <si>
    <t>Band</t>
  </si>
  <si>
    <t>1 = none, 2 =V, 3 = g', 4 = r', 5 =I',6=Exo</t>
  </si>
  <si>
    <t>not implemented-copy and paste from lower table</t>
  </si>
  <si>
    <t>saturn(max)</t>
  </si>
  <si>
    <t>Elevation</t>
  </si>
  <si>
    <t>1 = sea level, 2 = 2000 meters</t>
  </si>
  <si>
    <t>jupiter(max)</t>
  </si>
  <si>
    <t>BI</t>
  </si>
  <si>
    <t>Sensor Characteristics</t>
  </si>
  <si>
    <t>KAI04022</t>
  </si>
  <si>
    <t>KAF3200ME</t>
  </si>
  <si>
    <t>ICX285AL</t>
  </si>
  <si>
    <t>KAF4301E</t>
  </si>
  <si>
    <t>KAF8300M</t>
  </si>
  <si>
    <t>KAI11002M</t>
  </si>
  <si>
    <t>KAF16803</t>
  </si>
  <si>
    <t>CCD3041</t>
  </si>
  <si>
    <t>CCD42-40</t>
  </si>
  <si>
    <t>arcsec in image</t>
  </si>
  <si>
    <t>Horiz pixels</t>
  </si>
  <si>
    <t>size [um]</t>
  </si>
  <si>
    <t>Vertical pixels</t>
  </si>
  <si>
    <t xml:space="preserve">Arc-sec/Pixel </t>
  </si>
  <si>
    <t>Arc-sec/Meas Diam.</t>
  </si>
  <si>
    <t>FOV Horizontal [arc-min]</t>
  </si>
  <si>
    <t>FOV [arcmin^2]</t>
  </si>
  <si>
    <t>Gain e-/ADU</t>
  </si>
  <si>
    <t>Gain</t>
  </si>
  <si>
    <t>Full Well e-</t>
  </si>
  <si>
    <t>normally read as 16 bits, 64,000 ADU with margins set by manufacturer</t>
  </si>
  <si>
    <t>Read Noise / Pixel, e-</t>
  </si>
  <si>
    <t>Sensor Temperature, C</t>
  </si>
  <si>
    <t>Dark Current, e-/pixel/sec</t>
  </si>
  <si>
    <t>from manufacturer and temperature</t>
  </si>
  <si>
    <t>A/D Noise</t>
  </si>
  <si>
    <t>Measurement FWHM radius pixels</t>
  </si>
  <si>
    <t>assumes diffraction limit or the seeing limit whichever largest (usually seeing)</t>
  </si>
  <si>
    <t>Total pixels</t>
  </si>
  <si>
    <t>Sky Flux e-/sec</t>
  </si>
  <si>
    <t>photons * QE into aperture.  For stars all of this falls on the total pixel area</t>
  </si>
  <si>
    <t>Star Flux e-/sec</t>
  </si>
  <si>
    <t>Sky Photon Shot Noise ADU</t>
  </si>
  <si>
    <t>Object Photon Shot Noise ADU</t>
  </si>
  <si>
    <t>Flat-Fielding Noise ADU/pixel</t>
  </si>
  <si>
    <t>assumes 1/3 full well depth and 5 flats averaged</t>
  </si>
  <si>
    <t>Total Noise [ADU]/pixel</t>
  </si>
  <si>
    <t>total noise per pixel</t>
  </si>
  <si>
    <t>Signal [dark, bias, sky subtr][ADU]/pixel</t>
  </si>
  <si>
    <t>object total flux per pixel</t>
  </si>
  <si>
    <t>Max bin count [ADU]</t>
  </si>
  <si>
    <t>assumes ~Gaussian profile</t>
  </si>
  <si>
    <r>
      <t xml:space="preserve">    </t>
    </r>
    <r>
      <rPr>
        <b/>
        <sz val="10"/>
        <color rgb="FFFF0000"/>
        <rFont val="Arial"/>
        <family val="2"/>
      </rPr>
      <t>Detector Saturation Imminent</t>
    </r>
  </si>
  <si>
    <t>saturation if max  e-/pixel exceeds full well depth-remember Gain</t>
  </si>
  <si>
    <t>Signal / Noise</t>
  </si>
  <si>
    <t>Mag sigma</t>
  </si>
  <si>
    <t>Full Aperture</t>
  </si>
  <si>
    <t>Transparency</t>
  </si>
  <si>
    <t>Filter</t>
  </si>
  <si>
    <t>Total Obj Flux</t>
  </si>
  <si>
    <t>Magnitude</t>
  </si>
  <si>
    <t>Total Sky Flux</t>
  </si>
  <si>
    <t>QE</t>
  </si>
  <si>
    <t>Object</t>
  </si>
  <si>
    <t>SkyGlow</t>
  </si>
  <si>
    <t>Wavelength</t>
  </si>
  <si>
    <t>AO Flux</t>
  </si>
  <si>
    <t>Sea Level</t>
  </si>
  <si>
    <t>3000m</t>
  </si>
  <si>
    <t>Response</t>
  </si>
  <si>
    <t>Zero Mag</t>
  </si>
  <si>
    <t>KAI11002</t>
  </si>
  <si>
    <t>CCD42-40-1</t>
  </si>
  <si>
    <t>Total/Avg</t>
  </si>
  <si>
    <t>phot/sec/aperture</t>
  </si>
  <si>
    <t>e-/sec</t>
  </si>
  <si>
    <t>in focal spot</t>
  </si>
  <si>
    <t>assume in</t>
  </si>
  <si>
    <t>focal spot too</t>
  </si>
  <si>
    <t>Filters</t>
  </si>
  <si>
    <t>Astrodon Spectral Response</t>
  </si>
  <si>
    <t>u'</t>
  </si>
  <si>
    <t>g'</t>
  </si>
  <si>
    <t>r'</t>
  </si>
  <si>
    <t>I'</t>
  </si>
  <si>
    <t>z'</t>
  </si>
  <si>
    <t>exoplanet</t>
  </si>
  <si>
    <t>IR1</t>
  </si>
  <si>
    <t>IR2</t>
  </si>
  <si>
    <t>IR3</t>
  </si>
  <si>
    <t>IRLum</t>
  </si>
  <si>
    <t>U</t>
  </si>
  <si>
    <t>B</t>
  </si>
  <si>
    <t>V</t>
  </si>
  <si>
    <t>R</t>
  </si>
  <si>
    <t>I</t>
  </si>
  <si>
    <t>hi pressure Na spectrum</t>
  </si>
  <si>
    <t>Mag 16</t>
  </si>
  <si>
    <t>InGaAs</t>
  </si>
  <si>
    <t>integ. Over band</t>
  </si>
  <si>
    <t>photons</t>
  </si>
  <si>
    <t>Copy and paste filter data at E61</t>
  </si>
  <si>
    <t>ICX814</t>
  </si>
  <si>
    <t>CMOS</t>
  </si>
  <si>
    <t>IMX178</t>
  </si>
  <si>
    <t>HPNa</t>
  </si>
  <si>
    <t>High pressure sodium lamp spectra, various</t>
  </si>
  <si>
    <t>Lowtran7 std atmos.</t>
  </si>
  <si>
    <t>0,3000m at zenith</t>
  </si>
  <si>
    <t>ave T</t>
  </si>
  <si>
    <t>ave is over range that ends with the wavelength</t>
  </si>
  <si>
    <t>lambda</t>
  </si>
  <si>
    <t>sea level</t>
  </si>
  <si>
    <t>Data from Colina, 1996</t>
  </si>
  <si>
    <t>x0</t>
  </si>
  <si>
    <t>y0</t>
  </si>
  <si>
    <t>h</t>
  </si>
  <si>
    <t>erg*sec</t>
  </si>
  <si>
    <t>raw scan</t>
  </si>
  <si>
    <t>c</t>
  </si>
  <si>
    <t>cm/sec</t>
  </si>
  <si>
    <t>flux</t>
  </si>
  <si>
    <t>flux spectrum</t>
  </si>
  <si>
    <t>log f(V)</t>
  </si>
  <si>
    <t>log f(V) calc</t>
  </si>
  <si>
    <t>ergs/photon</t>
  </si>
  <si>
    <t>cm</t>
  </si>
  <si>
    <t>Ang</t>
  </si>
  <si>
    <t>nm</t>
  </si>
  <si>
    <t>x</t>
  </si>
  <si>
    <t>y</t>
  </si>
  <si>
    <t>y-740</t>
  </si>
  <si>
    <t>ergs/cm^2/sec/A</t>
  </si>
  <si>
    <t>hc/lambda</t>
  </si>
  <si>
    <t>phot/cm^2/sec/A</t>
  </si>
  <si>
    <t>sl/l</t>
  </si>
  <si>
    <t>log f</t>
  </si>
  <si>
    <t>delta</t>
  </si>
  <si>
    <t>mVega</t>
  </si>
  <si>
    <t>fVega</t>
  </si>
  <si>
    <t>f(0)</t>
  </si>
  <si>
    <t>High Pressure Sodium Lamp Spectrum</t>
  </si>
  <si>
    <t>from:</t>
  </si>
  <si>
    <t>Rakic etal 2011</t>
  </si>
  <si>
    <t>with added short wavelength data</t>
  </si>
  <si>
    <t>intensity</t>
  </si>
  <si>
    <t>int area</t>
  </si>
  <si>
    <t>band</t>
  </si>
  <si>
    <t>spectral density</t>
  </si>
  <si>
    <t>normalized</t>
  </si>
  <si>
    <t>scattering</t>
  </si>
  <si>
    <t>weighted</t>
  </si>
  <si>
    <t>ish</t>
  </si>
  <si>
    <t>400-450</t>
  </si>
  <si>
    <t>450-500</t>
  </si>
  <si>
    <t>500-550</t>
  </si>
  <si>
    <t>550-600</t>
  </si>
  <si>
    <t>600-650</t>
  </si>
  <si>
    <t>650-700</t>
  </si>
  <si>
    <t>700-750</t>
  </si>
  <si>
    <t>750-800</t>
  </si>
  <si>
    <t>800-850</t>
  </si>
  <si>
    <t>850-900</t>
  </si>
  <si>
    <t>900-950</t>
  </si>
  <si>
    <t>950-1000</t>
  </si>
  <si>
    <t>1000-1050</t>
  </si>
  <si>
    <t>1050-1100</t>
  </si>
  <si>
    <t>Original spreadsheet by Doug George at http://www.cyanogen.com/</t>
  </si>
  <si>
    <t>Target Magnitude [V]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</si>
</sst>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E+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indexed="62"/>
      <name val="Arial"/>
      <family val="2"/>
    </font>
    <font>
      <b/>
      <sz val="10"/>
      <color indexed="48"/>
      <name val="Arial"/>
      <family val="2"/>
    </font>
    <font>
      <b/>
      <sz val="10"/>
      <color indexed="50"/>
      <name val="Arial"/>
      <family val="2"/>
    </font>
    <font>
      <b/>
      <sz val="10"/>
      <color indexed="13"/>
      <name val="Arial"/>
      <family val="2"/>
    </font>
    <font>
      <b/>
      <sz val="10"/>
      <color rgb="FFFFC000"/>
      <name val="Arial"/>
      <family val="2"/>
    </font>
    <font>
      <b/>
      <sz val="10"/>
      <color indexed="10"/>
      <name val="Arial"/>
      <family val="2"/>
    </font>
    <font>
      <sz val="10"/>
      <color indexed="62"/>
      <name val="Arial"/>
      <family val="2"/>
    </font>
    <font>
      <sz val="10"/>
      <color indexed="48"/>
      <name val="Arial"/>
      <family val="2"/>
    </font>
    <font>
      <sz val="10"/>
      <color indexed="50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sz val="10"/>
      <color rgb="FF00B0F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Fill="1"/>
    <xf numFmtId="2" fontId="4" fillId="0" borderId="0" xfId="0" applyNumberFormat="1" applyFont="1"/>
    <xf numFmtId="2" fontId="0" fillId="0" borderId="0" xfId="0" applyNumberFormat="1"/>
    <xf numFmtId="2" fontId="0" fillId="0" borderId="0" xfId="0" applyNumberFormat="1" applyFill="1"/>
    <xf numFmtId="9" fontId="3" fillId="2" borderId="0" xfId="1" applyFont="1" applyFill="1"/>
    <xf numFmtId="0" fontId="0" fillId="3" borderId="0" xfId="0" applyFill="1"/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right"/>
    </xf>
    <xf numFmtId="0" fontId="3" fillId="4" borderId="0" xfId="0" applyFont="1" applyFill="1"/>
    <xf numFmtId="0" fontId="0" fillId="2" borderId="0" xfId="0" applyFill="1"/>
    <xf numFmtId="0" fontId="4" fillId="2" borderId="0" xfId="0" applyFont="1" applyFill="1" applyAlignment="1">
      <alignment horizontal="right"/>
    </xf>
    <xf numFmtId="1" fontId="4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right"/>
    </xf>
    <xf numFmtId="2" fontId="4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0" fontId="4" fillId="2" borderId="0" xfId="0" applyFont="1" applyFill="1"/>
    <xf numFmtId="2" fontId="0" fillId="2" borderId="0" xfId="0" applyNumberFormat="1" applyFill="1"/>
    <xf numFmtId="11" fontId="0" fillId="0" borderId="0" xfId="0" applyNumberFormat="1"/>
    <xf numFmtId="2" fontId="4" fillId="2" borderId="0" xfId="0" applyNumberFormat="1" applyFont="1" applyFill="1"/>
    <xf numFmtId="164" fontId="0" fillId="0" borderId="0" xfId="0" applyNumberFormat="1"/>
    <xf numFmtId="164" fontId="4" fillId="0" borderId="0" xfId="0" applyNumberFormat="1" applyFont="1"/>
    <xf numFmtId="2" fontId="3" fillId="0" borderId="0" xfId="0" applyNumberFormat="1" applyFont="1"/>
    <xf numFmtId="1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11" fontId="2" fillId="0" borderId="0" xfId="2" applyNumberFormat="1" applyFont="1"/>
    <xf numFmtId="0" fontId="4" fillId="0" borderId="0" xfId="0" applyFont="1" applyAlignment="1"/>
    <xf numFmtId="165" fontId="0" fillId="0" borderId="0" xfId="0" applyNumberForma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166" fontId="0" fillId="0" borderId="0" xfId="0" applyNumberFormat="1"/>
    <xf numFmtId="11" fontId="4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Fill="1" applyAlignment="1">
      <alignment horizontal="righ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4" fillId="0" borderId="0" xfId="3"/>
    <xf numFmtId="0" fontId="17" fillId="0" borderId="0" xfId="0" applyFont="1"/>
    <xf numFmtId="0" fontId="0" fillId="5" borderId="0" xfId="0" applyFill="1"/>
    <xf numFmtId="0" fontId="4" fillId="5" borderId="0" xfId="0" applyFont="1" applyFill="1"/>
    <xf numFmtId="11" fontId="1" fillId="0" borderId="0" xfId="4" applyNumberFormat="1"/>
    <xf numFmtId="0" fontId="6" fillId="0" borderId="0" xfId="3" applyFont="1" applyFill="1" applyAlignment="1">
      <alignment horizontal="right"/>
    </xf>
    <xf numFmtId="0" fontId="7" fillId="0" borderId="0" xfId="3" applyFont="1"/>
    <xf numFmtId="0" fontId="8" fillId="0" borderId="0" xfId="3" applyFont="1"/>
    <xf numFmtId="0" fontId="9" fillId="0" borderId="0" xfId="3" applyFont="1"/>
    <xf numFmtId="0" fontId="10" fillId="0" borderId="0" xfId="3" applyFont="1" applyAlignment="1">
      <alignment horizontal="right"/>
    </xf>
    <xf numFmtId="0" fontId="11" fillId="0" borderId="0" xfId="3" applyFont="1"/>
    <xf numFmtId="0" fontId="3" fillId="0" borderId="0" xfId="3" applyFont="1"/>
    <xf numFmtId="0" fontId="4" fillId="4" borderId="0" xfId="3" applyFill="1"/>
  </cellXfs>
  <cellStyles count="5">
    <cellStyle name="Normal" xfId="0" builtinId="0"/>
    <cellStyle name="Normal 2" xfId="2"/>
    <cellStyle name="Normal 2 2" xfId="4"/>
    <cellStyle name="Normal 3" xfId="3"/>
    <cellStyle name="Percent" xfId="1" builtinId="5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tronomy/CCD%20Cameras/CCD%20Calculations/snr10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A 20N"/>
      <sheetName val="ASA16N"/>
      <sheetName val="Meade 16&quot;"/>
      <sheetName val="Omni127"/>
      <sheetName val="Vega"/>
      <sheetName val="VegaSpectrum"/>
      <sheetName val="AtmosT"/>
      <sheetName val="Optics"/>
      <sheetName val="HPNa"/>
    </sheetNames>
    <sheetDataSet>
      <sheetData sheetId="0"/>
      <sheetData sheetId="1"/>
      <sheetData sheetId="2"/>
      <sheetData sheetId="3"/>
      <sheetData sheetId="4"/>
      <sheetData sheetId="5">
        <row r="10">
          <cell r="R10">
            <v>493.4446437560166</v>
          </cell>
        </row>
        <row r="11">
          <cell r="R11">
            <v>500.86660099143938</v>
          </cell>
        </row>
        <row r="12">
          <cell r="R12">
            <v>562.94528805085656</v>
          </cell>
        </row>
        <row r="13">
          <cell r="R13">
            <v>896.02569064131046</v>
          </cell>
        </row>
        <row r="14">
          <cell r="R14">
            <v>1490.052051383205</v>
          </cell>
        </row>
        <row r="15">
          <cell r="R15">
            <v>1262.7682105599361</v>
          </cell>
        </row>
        <row r="16">
          <cell r="R16">
            <v>1078.9670744984048</v>
          </cell>
        </row>
        <row r="17">
          <cell r="R17">
            <v>899.09697487376991</v>
          </cell>
        </row>
        <row r="18">
          <cell r="R18">
            <v>757.31318438297831</v>
          </cell>
        </row>
        <row r="19">
          <cell r="R19">
            <v>627.98761665817267</v>
          </cell>
        </row>
        <row r="20">
          <cell r="R20">
            <v>555.34728957000743</v>
          </cell>
        </row>
        <row r="21">
          <cell r="R21">
            <v>480.85477022750251</v>
          </cell>
        </row>
        <row r="22">
          <cell r="R22">
            <v>417.09704400985538</v>
          </cell>
        </row>
        <row r="23">
          <cell r="R23">
            <v>382.74761335096343</v>
          </cell>
        </row>
        <row r="24">
          <cell r="R24">
            <v>368.44843887962054</v>
          </cell>
        </row>
        <row r="25">
          <cell r="R25">
            <v>333.66111338758708</v>
          </cell>
        </row>
        <row r="26">
          <cell r="R26">
            <v>295.64255721758434</v>
          </cell>
        </row>
        <row r="27">
          <cell r="R27">
            <v>262.78524724973437</v>
          </cell>
        </row>
        <row r="28">
          <cell r="R28">
            <v>240.86429548592065</v>
          </cell>
        </row>
        <row r="29">
          <cell r="R29">
            <v>216.08705625012561</v>
          </cell>
        </row>
        <row r="30">
          <cell r="R30">
            <v>194.82039689763377</v>
          </cell>
        </row>
        <row r="31">
          <cell r="R31">
            <v>171.23576911776371</v>
          </cell>
        </row>
        <row r="32">
          <cell r="R32">
            <v>152.25307672707606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62"/>
  <sheetViews>
    <sheetView tabSelected="1" topLeftCell="A7" workbookViewId="0">
      <selection activeCell="A31" sqref="A31"/>
    </sheetView>
  </sheetViews>
  <sheetFormatPr defaultRowHeight="12.45" x14ac:dyDescent="0.3"/>
  <cols>
    <col min="1" max="1" width="37.3828125" bestFit="1" customWidth="1"/>
    <col min="3" max="4" width="13.3828125" bestFit="1" customWidth="1"/>
    <col min="5" max="5" width="10" bestFit="1" customWidth="1"/>
    <col min="6" max="6" width="14" bestFit="1" customWidth="1"/>
    <col min="7" max="7" width="10.53515625" bestFit="1" customWidth="1"/>
    <col min="8" max="8" width="14.15234375" bestFit="1" customWidth="1"/>
    <col min="9" max="9" width="10.53515625" bestFit="1" customWidth="1"/>
    <col min="10" max="10" width="9.15234375" customWidth="1"/>
    <col min="11" max="11" width="11.3828125" bestFit="1" customWidth="1"/>
    <col min="12" max="12" width="9.53515625" customWidth="1"/>
    <col min="13" max="13" width="9.84375" bestFit="1" customWidth="1"/>
    <col min="14" max="14" width="9.3828125" bestFit="1" customWidth="1"/>
    <col min="15" max="15" width="10.3828125" bestFit="1" customWidth="1"/>
    <col min="17" max="17" width="9.69140625" bestFit="1" customWidth="1"/>
    <col min="18" max="18" width="8.84375" customWidth="1"/>
    <col min="19" max="19" width="11" bestFit="1" customWidth="1"/>
    <col min="21" max="21" width="11.3828125" bestFit="1" customWidth="1"/>
    <col min="22" max="22" width="8.53515625" customWidth="1"/>
    <col min="23" max="23" width="9.84375" bestFit="1" customWidth="1"/>
    <col min="24" max="24" width="9.3828125" bestFit="1" customWidth="1"/>
    <col min="25" max="25" width="10.3828125" bestFit="1" customWidth="1"/>
    <col min="27" max="27" width="9.69140625" bestFit="1" customWidth="1"/>
    <col min="28" max="28" width="8.84375" customWidth="1"/>
    <col min="29" max="29" width="11" bestFit="1" customWidth="1"/>
    <col min="31" max="31" width="11.3828125" bestFit="1" customWidth="1"/>
    <col min="32" max="32" width="7.15234375" customWidth="1"/>
    <col min="33" max="33" width="9.84375" bestFit="1" customWidth="1"/>
    <col min="34" max="34" width="9.3828125" bestFit="1" customWidth="1"/>
    <col min="35" max="35" width="10.3828125" bestFit="1" customWidth="1"/>
    <col min="37" max="37" width="9.69140625" bestFit="1" customWidth="1"/>
    <col min="38" max="38" width="8.84375" customWidth="1"/>
    <col min="39" max="39" width="11" bestFit="1" customWidth="1"/>
  </cols>
  <sheetData>
    <row r="1" spans="1:19" x14ac:dyDescent="0.3">
      <c r="A1" s="1" t="s">
        <v>0</v>
      </c>
      <c r="J1" s="1" t="s">
        <v>1</v>
      </c>
      <c r="L1" s="1" t="s">
        <v>2</v>
      </c>
      <c r="N1" s="2" t="s">
        <v>3</v>
      </c>
    </row>
    <row r="2" spans="1:19" x14ac:dyDescent="0.3">
      <c r="B2" s="52" t="s">
        <v>4</v>
      </c>
      <c r="J2" s="2" t="s">
        <v>5</v>
      </c>
      <c r="K2">
        <v>21</v>
      </c>
      <c r="L2">
        <v>5.0000000000000001E-3</v>
      </c>
      <c r="N2" s="2" t="s">
        <v>6</v>
      </c>
      <c r="O2" s="2"/>
    </row>
    <row r="3" spans="1:19" x14ac:dyDescent="0.3">
      <c r="B3" s="54" t="s">
        <v>161</v>
      </c>
      <c r="C3" s="52"/>
      <c r="D3" s="52"/>
      <c r="J3" s="2" t="s">
        <v>7</v>
      </c>
      <c r="K3">
        <v>20</v>
      </c>
      <c r="L3">
        <v>0.01</v>
      </c>
      <c r="N3" s="2" t="s">
        <v>8</v>
      </c>
      <c r="O3" s="2"/>
    </row>
    <row r="4" spans="1:19" x14ac:dyDescent="0.3">
      <c r="J4" s="2" t="s">
        <v>9</v>
      </c>
      <c r="K4">
        <v>18.5</v>
      </c>
      <c r="L4">
        <v>0.05</v>
      </c>
      <c r="N4" t="s">
        <v>10</v>
      </c>
    </row>
    <row r="5" spans="1:19" x14ac:dyDescent="0.3">
      <c r="J5" s="2" t="s">
        <v>11</v>
      </c>
      <c r="K5">
        <v>16</v>
      </c>
      <c r="L5">
        <v>0.5</v>
      </c>
      <c r="N5" t="s">
        <v>12</v>
      </c>
    </row>
    <row r="6" spans="1:19" x14ac:dyDescent="0.3">
      <c r="J6" s="2" t="s">
        <v>13</v>
      </c>
      <c r="K6">
        <v>20</v>
      </c>
      <c r="N6" t="s">
        <v>14</v>
      </c>
    </row>
    <row r="7" spans="1:19" x14ac:dyDescent="0.3">
      <c r="A7" s="1" t="s">
        <v>15</v>
      </c>
      <c r="C7" s="3">
        <v>15.75</v>
      </c>
      <c r="D7" s="1" t="s">
        <v>16</v>
      </c>
      <c r="E7" s="4">
        <f>C7*25.4</f>
        <v>400.04999999999995</v>
      </c>
      <c r="F7" t="s">
        <v>17</v>
      </c>
      <c r="G7">
        <f>(E7/2*E7/2-E8/2*E8/2)*PI()/100</f>
        <v>1124.1209149356955</v>
      </c>
      <c r="H7" s="2" t="s">
        <v>18</v>
      </c>
      <c r="J7" s="1"/>
      <c r="N7" t="s">
        <v>165</v>
      </c>
      <c r="O7" t="s">
        <v>166</v>
      </c>
    </row>
    <row r="8" spans="1:19" x14ac:dyDescent="0.3">
      <c r="A8" s="1" t="s">
        <v>19</v>
      </c>
      <c r="C8" s="3">
        <v>5.12</v>
      </c>
      <c r="D8" s="1" t="s">
        <v>16</v>
      </c>
      <c r="E8" s="4">
        <f>C8*25.4</f>
        <v>130.048</v>
      </c>
      <c r="F8" t="s">
        <v>17</v>
      </c>
      <c r="H8" t="s">
        <v>20</v>
      </c>
      <c r="I8">
        <v>0.95199999999999996</v>
      </c>
      <c r="J8" s="2">
        <v>0.73</v>
      </c>
      <c r="K8">
        <v>1.8</v>
      </c>
      <c r="N8" t="s">
        <v>227</v>
      </c>
    </row>
    <row r="9" spans="1:19" x14ac:dyDescent="0.3">
      <c r="A9" s="1" t="s">
        <v>21</v>
      </c>
      <c r="C9" s="5"/>
      <c r="D9" s="1"/>
      <c r="E9">
        <v>1447.04</v>
      </c>
      <c r="F9" t="s">
        <v>17</v>
      </c>
      <c r="H9">
        <v>1520</v>
      </c>
      <c r="I9">
        <f>1520*I8</f>
        <v>1447.04</v>
      </c>
      <c r="J9">
        <f t="shared" ref="J9:K9" si="0">1520*J8</f>
        <v>1109.5999999999999</v>
      </c>
      <c r="K9">
        <f t="shared" si="0"/>
        <v>2736</v>
      </c>
    </row>
    <row r="10" spans="1:19" x14ac:dyDescent="0.3">
      <c r="A10" s="1" t="s">
        <v>22</v>
      </c>
      <c r="C10" s="5"/>
      <c r="D10" s="1"/>
      <c r="E10" s="6">
        <f>E9/E7</f>
        <v>3.6171478565179358</v>
      </c>
    </row>
    <row r="11" spans="1:19" x14ac:dyDescent="0.3">
      <c r="A11" s="1" t="s">
        <v>23</v>
      </c>
      <c r="C11" s="5"/>
      <c r="D11" s="1"/>
      <c r="E11" s="7">
        <f>206265/E9</f>
        <v>142.54270787262274</v>
      </c>
      <c r="F11" t="s">
        <v>24</v>
      </c>
    </row>
    <row r="12" spans="1:19" x14ac:dyDescent="0.3">
      <c r="A12" s="1" t="s">
        <v>25</v>
      </c>
      <c r="C12" s="5"/>
      <c r="D12" s="1"/>
      <c r="E12" s="7">
        <f>2.44*0.55*E10</f>
        <v>4.8542124234470698</v>
      </c>
      <c r="F12" t="s">
        <v>26</v>
      </c>
      <c r="O12" s="2" t="s">
        <v>27</v>
      </c>
    </row>
    <row r="13" spans="1:19" x14ac:dyDescent="0.3">
      <c r="A13" s="1" t="s">
        <v>28</v>
      </c>
      <c r="C13" s="5"/>
      <c r="D13" s="1"/>
      <c r="E13" s="7">
        <f>1.02*0.55*E10</f>
        <v>2.029219947506562</v>
      </c>
      <c r="F13" t="s">
        <v>26</v>
      </c>
      <c r="P13" s="2" t="s">
        <v>29</v>
      </c>
    </row>
    <row r="14" spans="1:19" x14ac:dyDescent="0.3">
      <c r="A14" s="1" t="s">
        <v>228</v>
      </c>
      <c r="C14" s="3">
        <v>13</v>
      </c>
      <c r="D14" s="1" t="s">
        <v>30</v>
      </c>
      <c r="E14">
        <f>POWER(2.512, -$C14)</f>
        <v>6.3058660932849095E-6</v>
      </c>
      <c r="G14" s="2" t="s">
        <v>31</v>
      </c>
      <c r="P14" s="2" t="s">
        <v>32</v>
      </c>
    </row>
    <row r="15" spans="1:19" x14ac:dyDescent="0.3">
      <c r="A15" s="1" t="s">
        <v>33</v>
      </c>
      <c r="C15" s="3">
        <v>3</v>
      </c>
      <c r="D15" s="1"/>
      <c r="P15" s="2" t="s">
        <v>34</v>
      </c>
      <c r="Q15" t="s">
        <v>35</v>
      </c>
      <c r="R15" t="s">
        <v>36</v>
      </c>
      <c r="S15" t="s">
        <v>37</v>
      </c>
    </row>
    <row r="16" spans="1:19" x14ac:dyDescent="0.3">
      <c r="A16" s="1" t="s">
        <v>38</v>
      </c>
      <c r="C16" s="3">
        <v>20</v>
      </c>
      <c r="D16" s="1"/>
      <c r="E16">
        <f>(1.002432*G16^2+0.148386*G16+0.0096467)/(G16^3+0.149864*G16^2+0.0102963*G16+0.000303978)</f>
        <v>1.0639571714647427</v>
      </c>
      <c r="F16" s="2" t="s">
        <v>39</v>
      </c>
      <c r="G16">
        <f>COS(C16*PI()/180)</f>
        <v>0.93969262078590843</v>
      </c>
      <c r="O16" s="2" t="s">
        <v>40</v>
      </c>
      <c r="P16">
        <v>495</v>
      </c>
      <c r="Q16">
        <v>-3</v>
      </c>
      <c r="R16" s="8">
        <f t="shared" ref="R16:R22" si="1">Q16+2.5*LOG10(P16)</f>
        <v>3.7365129973339224</v>
      </c>
      <c r="S16">
        <f>SQRT($C$15^2+P16)</f>
        <v>22.449944320643649</v>
      </c>
    </row>
    <row r="17" spans="1:20" x14ac:dyDescent="0.3">
      <c r="A17" s="1" t="s">
        <v>41</v>
      </c>
      <c r="C17" s="9">
        <v>0.9</v>
      </c>
      <c r="D17" t="s">
        <v>42</v>
      </c>
      <c r="O17" s="2" t="s">
        <v>43</v>
      </c>
      <c r="P17">
        <f>400*3600</f>
        <v>1440000</v>
      </c>
      <c r="Q17">
        <v>5.8</v>
      </c>
      <c r="R17" s="8">
        <f t="shared" si="1"/>
        <v>21.195906230238123</v>
      </c>
      <c r="S17">
        <f t="shared" ref="S17:S24" si="2">SQRT($C$15^2+P17)</f>
        <v>1200.0037499941407</v>
      </c>
    </row>
    <row r="18" spans="1:20" x14ac:dyDescent="0.3">
      <c r="A18" s="1" t="s">
        <v>44</v>
      </c>
      <c r="C18" s="3">
        <v>15</v>
      </c>
      <c r="D18" s="1" t="s">
        <v>45</v>
      </c>
      <c r="O18" t="s">
        <v>46</v>
      </c>
      <c r="P18">
        <f>70.8*41.7*3600</f>
        <v>10628496</v>
      </c>
      <c r="Q18">
        <v>5.72</v>
      </c>
      <c r="R18" s="8">
        <f t="shared" si="1"/>
        <v>23.286179533577034</v>
      </c>
      <c r="S18">
        <f t="shared" si="2"/>
        <v>3260.1388007261285</v>
      </c>
      <c r="T18" s="7"/>
    </row>
    <row r="19" spans="1:20" x14ac:dyDescent="0.3">
      <c r="A19" s="1" t="s">
        <v>47</v>
      </c>
      <c r="C19" s="3">
        <v>1</v>
      </c>
      <c r="D19" s="1"/>
      <c r="O19" t="s">
        <v>48</v>
      </c>
      <c r="P19">
        <v>756000</v>
      </c>
      <c r="Q19">
        <v>6.9</v>
      </c>
      <c r="R19" s="8">
        <f t="shared" si="1"/>
        <v>21.596304488753017</v>
      </c>
      <c r="S19">
        <f t="shared" si="2"/>
        <v>869.48778024765818</v>
      </c>
      <c r="T19" s="7"/>
    </row>
    <row r="20" spans="1:20" x14ac:dyDescent="0.3">
      <c r="A20" s="1" t="s">
        <v>49</v>
      </c>
      <c r="C20" s="3">
        <v>1.25</v>
      </c>
      <c r="D20" s="1"/>
      <c r="G20" s="2" t="s">
        <v>50</v>
      </c>
      <c r="O20" t="s">
        <v>51</v>
      </c>
      <c r="P20">
        <f>190*60*3600</f>
        <v>41040000</v>
      </c>
      <c r="Q20">
        <v>3.44</v>
      </c>
      <c r="R20" s="8">
        <f t="shared" si="1"/>
        <v>22.473018380259401</v>
      </c>
      <c r="S20">
        <f t="shared" si="2"/>
        <v>6406.2476536581071</v>
      </c>
      <c r="T20" s="7"/>
    </row>
    <row r="21" spans="1:20" x14ac:dyDescent="0.3">
      <c r="A21" s="1" t="s">
        <v>52</v>
      </c>
      <c r="C21" s="3">
        <v>19.5</v>
      </c>
      <c r="D21" s="1" t="s">
        <v>53</v>
      </c>
      <c r="E21">
        <f>POWER(2.512, -$C21)</f>
        <v>1.583496530776579E-8</v>
      </c>
      <c r="G21" s="2" t="s">
        <v>31</v>
      </c>
      <c r="J21" s="10">
        <f>0.5*POWER(2.512,16-$C$21)</f>
        <v>1.9902208954352064E-2</v>
      </c>
      <c r="K21" s="1" t="s">
        <v>54</v>
      </c>
      <c r="L21" t="s">
        <v>55</v>
      </c>
      <c r="O21" t="s">
        <v>56</v>
      </c>
      <c r="P21">
        <f>1.4*3600</f>
        <v>5040</v>
      </c>
      <c r="Q21">
        <v>9</v>
      </c>
      <c r="R21" s="8">
        <f t="shared" si="1"/>
        <v>18.256076341113811</v>
      </c>
      <c r="S21">
        <f t="shared" si="2"/>
        <v>71.056315693962063</v>
      </c>
    </row>
    <row r="22" spans="1:20" x14ac:dyDescent="0.3">
      <c r="A22" s="1" t="s">
        <v>57</v>
      </c>
      <c r="C22" s="3">
        <v>10</v>
      </c>
      <c r="D22" s="1" t="s">
        <v>58</v>
      </c>
      <c r="G22" t="s">
        <v>59</v>
      </c>
      <c r="O22" t="s">
        <v>60</v>
      </c>
      <c r="P22">
        <f>8.7*3.5*3600</f>
        <v>109619.99999999999</v>
      </c>
      <c r="Q22">
        <v>9</v>
      </c>
      <c r="R22" s="8">
        <f t="shared" si="1"/>
        <v>21.599724494340453</v>
      </c>
      <c r="S22">
        <f t="shared" si="2"/>
        <v>331.10270309980859</v>
      </c>
    </row>
    <row r="23" spans="1:20" x14ac:dyDescent="0.3">
      <c r="A23" s="1" t="s">
        <v>61</v>
      </c>
      <c r="C23" s="3">
        <v>1</v>
      </c>
      <c r="D23" s="1" t="s">
        <v>62</v>
      </c>
      <c r="G23" s="2" t="s">
        <v>63</v>
      </c>
      <c r="O23" s="2" t="s">
        <v>64</v>
      </c>
      <c r="P23">
        <v>317</v>
      </c>
      <c r="Q23">
        <v>-0.24</v>
      </c>
      <c r="R23">
        <v>6.01</v>
      </c>
      <c r="S23">
        <f t="shared" si="2"/>
        <v>18.055470085267789</v>
      </c>
    </row>
    <row r="24" spans="1:20" x14ac:dyDescent="0.3">
      <c r="A24" s="1" t="s">
        <v>65</v>
      </c>
      <c r="C24" s="3"/>
      <c r="D24" s="1" t="s">
        <v>66</v>
      </c>
      <c r="O24" s="2" t="s">
        <v>67</v>
      </c>
      <c r="P24">
        <v>2042</v>
      </c>
      <c r="Q24">
        <v>-2.94</v>
      </c>
      <c r="R24">
        <v>5.34</v>
      </c>
      <c r="S24">
        <f t="shared" si="2"/>
        <v>45.287967496897011</v>
      </c>
    </row>
    <row r="25" spans="1:20" x14ac:dyDescent="0.3">
      <c r="I25" s="1"/>
      <c r="K25" t="s">
        <v>163</v>
      </c>
      <c r="L25" t="s">
        <v>68</v>
      </c>
    </row>
    <row r="26" spans="1:20" x14ac:dyDescent="0.3">
      <c r="A26" s="1" t="s">
        <v>69</v>
      </c>
      <c r="C26" s="11" t="s">
        <v>70</v>
      </c>
      <c r="D26" s="12" t="s">
        <v>71</v>
      </c>
      <c r="E26" s="1" t="s">
        <v>72</v>
      </c>
      <c r="F26" s="13" t="s">
        <v>73</v>
      </c>
      <c r="G26" s="11" t="s">
        <v>74</v>
      </c>
      <c r="H26" s="12" t="s">
        <v>162</v>
      </c>
      <c r="I26" s="11" t="s">
        <v>75</v>
      </c>
      <c r="J26" s="12" t="s">
        <v>76</v>
      </c>
      <c r="K26" s="1" t="s">
        <v>164</v>
      </c>
      <c r="L26" s="14" t="s">
        <v>78</v>
      </c>
      <c r="Q26">
        <f>D41/D31</f>
        <v>3.0950476328994254</v>
      </c>
      <c r="R26" t="s">
        <v>79</v>
      </c>
    </row>
    <row r="27" spans="1:20" x14ac:dyDescent="0.3">
      <c r="A27" s="1" t="s">
        <v>80</v>
      </c>
      <c r="C27" s="15">
        <v>2048</v>
      </c>
      <c r="D27" s="16">
        <v>2184</v>
      </c>
      <c r="E27" s="16">
        <v>1360</v>
      </c>
      <c r="F27" s="17">
        <v>2084</v>
      </c>
      <c r="G27" s="17">
        <v>3326</v>
      </c>
      <c r="H27" s="16">
        <v>3388</v>
      </c>
      <c r="I27" s="16">
        <v>4072</v>
      </c>
      <c r="J27" s="16">
        <v>4127</v>
      </c>
      <c r="K27" s="16">
        <v>3096</v>
      </c>
      <c r="L27" s="16">
        <v>2048</v>
      </c>
      <c r="M27" s="18"/>
    </row>
    <row r="28" spans="1:20" x14ac:dyDescent="0.3">
      <c r="A28" s="1" t="s">
        <v>81</v>
      </c>
      <c r="C28" s="15">
        <v>7.4</v>
      </c>
      <c r="D28" s="16">
        <v>6.8</v>
      </c>
      <c r="E28" s="16">
        <v>6.45</v>
      </c>
      <c r="F28" s="17">
        <v>24</v>
      </c>
      <c r="G28" s="19">
        <v>5.4</v>
      </c>
      <c r="H28" s="16">
        <v>3.69</v>
      </c>
      <c r="I28" s="16">
        <v>9</v>
      </c>
      <c r="J28" s="16">
        <v>9</v>
      </c>
      <c r="K28" s="16">
        <v>2.4</v>
      </c>
      <c r="L28" s="16">
        <v>13.5</v>
      </c>
      <c r="M28" s="18"/>
    </row>
    <row r="29" spans="1:20" x14ac:dyDescent="0.3">
      <c r="A29" s="1" t="s">
        <v>82</v>
      </c>
      <c r="C29" s="15">
        <v>2048</v>
      </c>
      <c r="D29" s="16">
        <v>1510</v>
      </c>
      <c r="E29" s="16">
        <v>1024</v>
      </c>
      <c r="F29" s="17">
        <v>2084</v>
      </c>
      <c r="G29" s="17">
        <v>2504</v>
      </c>
      <c r="H29" s="16">
        <v>2712</v>
      </c>
      <c r="I29" s="16">
        <v>2720</v>
      </c>
      <c r="J29" s="16">
        <v>4128</v>
      </c>
      <c r="K29" s="16">
        <v>2080</v>
      </c>
      <c r="L29" s="16">
        <v>2048</v>
      </c>
      <c r="M29" s="18"/>
    </row>
    <row r="30" spans="1:20" x14ac:dyDescent="0.3">
      <c r="A30" s="1" t="s">
        <v>81</v>
      </c>
      <c r="C30" s="15">
        <v>7.4</v>
      </c>
      <c r="D30" s="16">
        <v>6.8</v>
      </c>
      <c r="E30" s="16">
        <v>6.45</v>
      </c>
      <c r="F30" s="17">
        <v>24</v>
      </c>
      <c r="G30" s="19">
        <v>5.4</v>
      </c>
      <c r="H30" s="16">
        <v>3.69</v>
      </c>
      <c r="I30" s="16">
        <v>9</v>
      </c>
      <c r="J30" s="16">
        <v>9</v>
      </c>
      <c r="K30" s="16">
        <v>2.4</v>
      </c>
      <c r="L30" s="16">
        <v>13.5</v>
      </c>
      <c r="M30" s="18"/>
    </row>
    <row r="31" spans="1:20" x14ac:dyDescent="0.3">
      <c r="A31" s="1" t="s">
        <v>83</v>
      </c>
      <c r="C31" s="20">
        <f t="shared" ref="C31:I31" si="3">$E$11*C30/1000</f>
        <v>1.0548160382574083</v>
      </c>
      <c r="D31" s="21">
        <f t="shared" si="3"/>
        <v>0.9692904135338346</v>
      </c>
      <c r="E31" s="21">
        <f>$E$11*E30/1000</f>
        <v>0.91940046577841672</v>
      </c>
      <c r="F31" s="21">
        <f t="shared" si="3"/>
        <v>3.4210249889429458</v>
      </c>
      <c r="G31" s="21">
        <f t="shared" si="3"/>
        <v>0.76973062251216284</v>
      </c>
      <c r="H31" s="21">
        <f t="shared" si="3"/>
        <v>0.52598259204997799</v>
      </c>
      <c r="I31" s="21">
        <f t="shared" si="3"/>
        <v>1.2828843708536046</v>
      </c>
      <c r="J31" s="21">
        <f>$E$11*J30/1000</f>
        <v>1.2828843708536046</v>
      </c>
      <c r="K31" s="21">
        <f>$E$11*K30/1000</f>
        <v>0.34210249889429456</v>
      </c>
      <c r="L31" s="21">
        <f>$E$11*L30/1000</f>
        <v>1.9243265562804071</v>
      </c>
      <c r="M31" s="21"/>
    </row>
    <row r="32" spans="1:20" x14ac:dyDescent="0.3">
      <c r="A32" s="1" t="s">
        <v>84</v>
      </c>
      <c r="C32" s="6">
        <f t="shared" ref="C32:I32" si="4">C31*2*$C$41</f>
        <v>6.3288962295444495</v>
      </c>
      <c r="D32" s="6">
        <f t="shared" si="4"/>
        <v>5.8157424812030074</v>
      </c>
      <c r="E32" s="21">
        <f>E31*2*$C$41</f>
        <v>5.5164027946705003</v>
      </c>
      <c r="F32" s="6">
        <f t="shared" si="4"/>
        <v>20.526149933657674</v>
      </c>
      <c r="G32" s="6">
        <f t="shared" si="4"/>
        <v>4.6183837350729773</v>
      </c>
      <c r="H32" s="21">
        <f t="shared" si="4"/>
        <v>3.1558955522998682</v>
      </c>
      <c r="I32" s="21">
        <f t="shared" si="4"/>
        <v>7.6973062251216273</v>
      </c>
      <c r="J32" s="21">
        <f>J31*2*$C$41</f>
        <v>7.6973062251216273</v>
      </c>
      <c r="K32" s="21">
        <f>K31*2*$C$41</f>
        <v>2.0526149933657676</v>
      </c>
      <c r="L32" s="21">
        <f>L31*2*$C$41</f>
        <v>11.545959337682442</v>
      </c>
      <c r="M32" s="21"/>
    </row>
    <row r="33" spans="1:51" x14ac:dyDescent="0.3">
      <c r="A33" s="1" t="s">
        <v>85</v>
      </c>
      <c r="C33" s="21">
        <f t="shared" ref="C33:I33" si="5">C31*C27/60</f>
        <v>36.004387439186203</v>
      </c>
      <c r="D33" s="21">
        <f t="shared" si="5"/>
        <v>35.282171052631583</v>
      </c>
      <c r="E33" s="21">
        <f>E31*E27/60</f>
        <v>20.839743890977445</v>
      </c>
      <c r="F33" s="21">
        <f t="shared" si="5"/>
        <v>118.82360128261831</v>
      </c>
      <c r="G33" s="21">
        <f t="shared" si="5"/>
        <v>42.668734174590895</v>
      </c>
      <c r="H33" s="21">
        <f t="shared" si="5"/>
        <v>29.700483697755423</v>
      </c>
      <c r="I33" s="21">
        <f t="shared" si="5"/>
        <v>87.06508596859797</v>
      </c>
      <c r="J33" s="21">
        <f>J31*J27/60</f>
        <v>88.241063308547112</v>
      </c>
      <c r="K33" s="21">
        <f>K31*K27/60</f>
        <v>17.652488942945599</v>
      </c>
      <c r="L33" s="21">
        <f>L31*L27/60</f>
        <v>65.683679787704563</v>
      </c>
      <c r="M33" s="21"/>
    </row>
    <row r="34" spans="1:51" x14ac:dyDescent="0.3">
      <c r="A34" s="1" t="s">
        <v>86</v>
      </c>
      <c r="C34" s="21">
        <f>C33*C29*C31/60</f>
        <v>1296.3159148710292</v>
      </c>
      <c r="D34" s="21">
        <f t="shared" ref="D34:L34" si="6">D33*D29*D31/60</f>
        <v>860.66653261108172</v>
      </c>
      <c r="E34" s="21">
        <f t="shared" si="6"/>
        <v>326.99853209715332</v>
      </c>
      <c r="F34" s="21">
        <f t="shared" si="6"/>
        <v>14119.048221770652</v>
      </c>
      <c r="G34" s="21">
        <f t="shared" si="6"/>
        <v>1370.6658670051111</v>
      </c>
      <c r="H34" s="21">
        <f t="shared" si="6"/>
        <v>706.11157050185477</v>
      </c>
      <c r="I34" s="21">
        <f t="shared" si="6"/>
        <v>5063.4811909716709</v>
      </c>
      <c r="J34" s="21">
        <f t="shared" si="6"/>
        <v>7788.3719718394532</v>
      </c>
      <c r="K34" s="21">
        <f t="shared" si="6"/>
        <v>209.35063340830058</v>
      </c>
      <c r="L34" s="21">
        <f t="shared" si="6"/>
        <v>4314.345790453709</v>
      </c>
      <c r="M34" s="21"/>
    </row>
    <row r="35" spans="1:51" x14ac:dyDescent="0.3">
      <c r="A35" s="1" t="s">
        <v>87</v>
      </c>
      <c r="C35" s="16">
        <v>0.8</v>
      </c>
      <c r="D35" s="16">
        <v>1.3</v>
      </c>
      <c r="E35" s="16">
        <v>0.5</v>
      </c>
      <c r="F35" s="16">
        <v>1.9</v>
      </c>
      <c r="G35" s="16">
        <v>0.37</v>
      </c>
      <c r="H35" s="16">
        <v>0.28000000000000003</v>
      </c>
      <c r="I35" s="16">
        <v>0.87</v>
      </c>
      <c r="J35" s="16">
        <v>2.2999999999999998</v>
      </c>
      <c r="K35" s="16">
        <v>1.9</v>
      </c>
      <c r="L35" s="16">
        <v>1.9</v>
      </c>
      <c r="M35" s="18"/>
      <c r="N35" s="2" t="s">
        <v>88</v>
      </c>
    </row>
    <row r="36" spans="1:51" x14ac:dyDescent="0.3">
      <c r="A36" s="1" t="s">
        <v>89</v>
      </c>
      <c r="C36" s="15">
        <v>40000</v>
      </c>
      <c r="D36" s="16">
        <v>55000</v>
      </c>
      <c r="E36" s="17">
        <v>25000</v>
      </c>
      <c r="F36" s="17">
        <v>200000</v>
      </c>
      <c r="G36" s="17">
        <v>25500</v>
      </c>
      <c r="H36" s="17">
        <v>18000</v>
      </c>
      <c r="I36" s="17">
        <v>60000</v>
      </c>
      <c r="J36" s="17">
        <v>100000</v>
      </c>
      <c r="K36" s="17">
        <v>100000</v>
      </c>
      <c r="L36" s="17">
        <v>100000</v>
      </c>
      <c r="M36" s="22"/>
      <c r="N36" t="s">
        <v>90</v>
      </c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x14ac:dyDescent="0.3">
      <c r="A37" s="1" t="s">
        <v>91</v>
      </c>
      <c r="C37" s="15">
        <v>8</v>
      </c>
      <c r="D37" s="16">
        <v>7</v>
      </c>
      <c r="E37" s="23">
        <v>7</v>
      </c>
      <c r="F37" s="23">
        <v>15</v>
      </c>
      <c r="G37" s="23">
        <v>8</v>
      </c>
      <c r="H37" s="23">
        <v>3.1</v>
      </c>
      <c r="I37" s="23">
        <v>11</v>
      </c>
      <c r="J37" s="23">
        <v>9</v>
      </c>
      <c r="K37" s="23">
        <v>8</v>
      </c>
      <c r="L37" s="23">
        <v>3</v>
      </c>
      <c r="M37" s="2"/>
    </row>
    <row r="38" spans="1:51" x14ac:dyDescent="0.3">
      <c r="A38" s="1" t="s">
        <v>92</v>
      </c>
      <c r="C38" s="15">
        <v>-20</v>
      </c>
      <c r="D38" s="15">
        <f t="shared" ref="D38:L38" si="7">$C$22-30</f>
        <v>-20</v>
      </c>
      <c r="E38" s="15">
        <f t="shared" si="7"/>
        <v>-20</v>
      </c>
      <c r="F38" s="15">
        <f t="shared" si="7"/>
        <v>-20</v>
      </c>
      <c r="G38" s="15">
        <f>$C$22-30</f>
        <v>-20</v>
      </c>
      <c r="H38" s="15">
        <f t="shared" si="7"/>
        <v>-20</v>
      </c>
      <c r="I38" s="15">
        <f t="shared" si="7"/>
        <v>-20</v>
      </c>
      <c r="J38" s="15">
        <f t="shared" si="7"/>
        <v>-20</v>
      </c>
      <c r="K38" s="15">
        <f t="shared" si="7"/>
        <v>-20</v>
      </c>
      <c r="L38" s="15">
        <f t="shared" si="7"/>
        <v>-20</v>
      </c>
    </row>
    <row r="39" spans="1:51" x14ac:dyDescent="0.3">
      <c r="A39" s="1" t="s">
        <v>93</v>
      </c>
      <c r="C39" s="24">
        <f>40*POWER(2,(-25+C38)/7)</f>
        <v>0.46437321535529646</v>
      </c>
      <c r="D39" s="24">
        <f>15*POWER(2,(-25+D38)/6)</f>
        <v>8.2864075920298555E-2</v>
      </c>
      <c r="E39" s="24">
        <v>0.2</v>
      </c>
      <c r="F39" s="24">
        <f>150*POWER(2,(-25+F38)/6)</f>
        <v>0.82864075920298552</v>
      </c>
      <c r="G39" s="24">
        <f>2*POWER(2,(-25+G38)/5.8)</f>
        <v>9.2353305249239723E-3</v>
      </c>
      <c r="H39" s="24">
        <f>2*POWER(2,(-25+H38)/4)</f>
        <v>8.2118790552120589E-4</v>
      </c>
      <c r="I39" s="24">
        <f>50*POWER(2,(-25+I38)/7)</f>
        <v>0.58046651919412051</v>
      </c>
      <c r="J39" s="24">
        <f>9*POWER(2,(-25+J38)/6.3)</f>
        <v>6.368369514355593E-2</v>
      </c>
      <c r="K39" s="24">
        <f>9*POWER(2,(-25+K38)/6.3)</f>
        <v>6.368369514355593E-2</v>
      </c>
      <c r="L39" s="24">
        <f>9*POWER(2,(-25+L38)/6.3)</f>
        <v>6.368369514355593E-2</v>
      </c>
      <c r="M39" s="25"/>
      <c r="N39" s="2" t="s">
        <v>94</v>
      </c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</row>
    <row r="40" spans="1:51" x14ac:dyDescent="0.3">
      <c r="A40" s="1" t="s">
        <v>95</v>
      </c>
      <c r="B40" s="1"/>
      <c r="C40" s="26">
        <f t="shared" ref="C40:I40" si="8">C35/SQRT(12)</f>
        <v>0.23094010767585033</v>
      </c>
      <c r="D40" s="26">
        <f t="shared" si="8"/>
        <v>0.37527767497325676</v>
      </c>
      <c r="E40" s="15">
        <v>0.55000000000000004</v>
      </c>
      <c r="F40" s="26">
        <f t="shared" si="8"/>
        <v>0.54848275573014449</v>
      </c>
      <c r="G40" s="26">
        <f t="shared" si="8"/>
        <v>0.10680979980008078</v>
      </c>
      <c r="H40" s="26">
        <f t="shared" si="8"/>
        <v>8.0829037686547617E-2</v>
      </c>
      <c r="I40" s="26">
        <f t="shared" si="8"/>
        <v>0.2511473670974872</v>
      </c>
      <c r="J40" s="15">
        <v>0.55000000000000004</v>
      </c>
      <c r="K40" s="15">
        <v>0.55000000000000004</v>
      </c>
      <c r="L40" s="15">
        <v>0.55000000000000004</v>
      </c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</row>
    <row r="41" spans="1:51" x14ac:dyDescent="0.3">
      <c r="A41" s="1" t="s">
        <v>96</v>
      </c>
      <c r="C41" s="2">
        <f>MAX(INT($E$13/C30/1.4)+1,INT($C$15/C31/1.4)+1)</f>
        <v>3</v>
      </c>
      <c r="D41" s="2">
        <f t="shared" ref="D41:L41" si="9">MAX(INT($E$13/D30/1.4)+1,INT($C$15/D31/1.4)+1)</f>
        <v>3</v>
      </c>
      <c r="E41" s="2">
        <f t="shared" si="9"/>
        <v>3</v>
      </c>
      <c r="F41" s="2">
        <f t="shared" si="9"/>
        <v>1</v>
      </c>
      <c r="G41" s="2">
        <f t="shared" si="9"/>
        <v>3</v>
      </c>
      <c r="H41" s="2">
        <f t="shared" si="9"/>
        <v>5</v>
      </c>
      <c r="I41" s="2">
        <f t="shared" si="9"/>
        <v>2</v>
      </c>
      <c r="J41" s="2">
        <f t="shared" si="9"/>
        <v>2</v>
      </c>
      <c r="K41" s="2">
        <f t="shared" si="9"/>
        <v>7</v>
      </c>
      <c r="L41" s="2">
        <f t="shared" si="9"/>
        <v>2</v>
      </c>
      <c r="M41" s="2"/>
      <c r="N41" s="2" t="s">
        <v>97</v>
      </c>
      <c r="V41">
        <f>1.414*(C15/D31)^2</f>
        <v>13.5451582677817</v>
      </c>
    </row>
    <row r="42" spans="1:51" x14ac:dyDescent="0.3">
      <c r="A42" s="1" t="s">
        <v>98</v>
      </c>
      <c r="B42" s="1"/>
      <c r="C42">
        <f>INT(PI()*C41*C41)+1</f>
        <v>29</v>
      </c>
      <c r="D42">
        <f t="shared" ref="D42:L42" si="10">INT(PI()*D41*D41)+1</f>
        <v>29</v>
      </c>
      <c r="E42">
        <f t="shared" si="10"/>
        <v>29</v>
      </c>
      <c r="F42">
        <f t="shared" si="10"/>
        <v>4</v>
      </c>
      <c r="G42">
        <f t="shared" si="10"/>
        <v>29</v>
      </c>
      <c r="H42">
        <f t="shared" si="10"/>
        <v>79</v>
      </c>
      <c r="I42">
        <f t="shared" si="10"/>
        <v>13</v>
      </c>
      <c r="J42">
        <f t="shared" si="10"/>
        <v>13</v>
      </c>
      <c r="K42">
        <f t="shared" si="10"/>
        <v>154</v>
      </c>
      <c r="L42">
        <f t="shared" si="10"/>
        <v>13</v>
      </c>
    </row>
    <row r="43" spans="1:51" x14ac:dyDescent="0.3">
      <c r="A43" s="1"/>
      <c r="B43" s="1"/>
      <c r="C43" s="6"/>
      <c r="D43" s="7"/>
      <c r="F43" s="7"/>
      <c r="G43" s="7"/>
      <c r="H43" s="7"/>
    </row>
    <row r="44" spans="1:51" x14ac:dyDescent="0.3">
      <c r="A44" s="1" t="s">
        <v>99</v>
      </c>
      <c r="C44" s="7">
        <f t="shared" ref="C44:L44" si="11">AD89</f>
        <v>13.474073501780875</v>
      </c>
      <c r="D44" s="7">
        <f t="shared" si="11"/>
        <v>30.193515324148652</v>
      </c>
      <c r="E44" s="7">
        <f t="shared" si="11"/>
        <v>20.729421360090853</v>
      </c>
      <c r="F44" s="7">
        <f t="shared" si="11"/>
        <v>24.920985651350733</v>
      </c>
      <c r="G44" s="7">
        <f t="shared" si="11"/>
        <v>18.361977216254207</v>
      </c>
      <c r="H44" s="7">
        <f t="shared" si="11"/>
        <v>25.63044466106356</v>
      </c>
      <c r="I44" s="7">
        <f t="shared" si="11"/>
        <v>13.078937218213188</v>
      </c>
      <c r="J44" s="7">
        <f t="shared" si="11"/>
        <v>19.742274693668314</v>
      </c>
      <c r="K44" s="7">
        <f t="shared" si="11"/>
        <v>37.704557412182254</v>
      </c>
      <c r="L44" s="7">
        <f t="shared" si="11"/>
        <v>31.712624213189908</v>
      </c>
      <c r="N44" s="2" t="s">
        <v>100</v>
      </c>
    </row>
    <row r="45" spans="1:51" x14ac:dyDescent="0.3">
      <c r="A45" s="1" t="s">
        <v>101</v>
      </c>
      <c r="C45" s="7">
        <f t="shared" ref="C45:L45" si="12">T89</f>
        <v>5241.3889361281208</v>
      </c>
      <c r="D45" s="7">
        <f t="shared" si="12"/>
        <v>11832.276495968539</v>
      </c>
      <c r="E45" s="7">
        <f t="shared" si="12"/>
        <v>8090.4245354632267</v>
      </c>
      <c r="F45" s="7">
        <f t="shared" si="12"/>
        <v>9765.0563419181126</v>
      </c>
      <c r="G45" s="7">
        <f t="shared" si="12"/>
        <v>7176.9589503317357</v>
      </c>
      <c r="H45" s="7">
        <f t="shared" si="12"/>
        <v>10011.200403379215</v>
      </c>
      <c r="I45" s="7">
        <f t="shared" si="12"/>
        <v>5097.2253571216461</v>
      </c>
      <c r="J45" s="7">
        <f t="shared" si="12"/>
        <v>7714.036573465175</v>
      </c>
      <c r="K45" s="7">
        <f t="shared" si="12"/>
        <v>14866.492563904454</v>
      </c>
      <c r="L45" s="7">
        <f t="shared" si="12"/>
        <v>12452.72988833041</v>
      </c>
    </row>
    <row r="47" spans="1:51" x14ac:dyDescent="0.3">
      <c r="A47" s="1" t="s">
        <v>102</v>
      </c>
      <c r="C47" s="7">
        <f t="shared" ref="C47:L47" si="13">SQRT(C44*$C$18/C35)</f>
        <v>15.894617899100041</v>
      </c>
      <c r="D47" s="7">
        <f t="shared" si="13"/>
        <v>18.665120285672909</v>
      </c>
      <c r="E47" s="7">
        <f t="shared" si="13"/>
        <v>24.937574878137724</v>
      </c>
      <c r="F47" s="7">
        <f t="shared" si="13"/>
        <v>14.026568488525456</v>
      </c>
      <c r="G47" s="7">
        <f t="shared" si="13"/>
        <v>27.283776896537535</v>
      </c>
      <c r="H47" s="7">
        <f t="shared" si="13"/>
        <v>37.054817978423792</v>
      </c>
      <c r="I47" s="7">
        <f t="shared" si="13"/>
        <v>15.016621376175127</v>
      </c>
      <c r="J47" s="7">
        <f t="shared" si="13"/>
        <v>11.346980452679427</v>
      </c>
      <c r="K47" s="7">
        <f t="shared" si="13"/>
        <v>17.25304490567472</v>
      </c>
      <c r="L47" s="7">
        <f t="shared" si="13"/>
        <v>15.822857603344278</v>
      </c>
    </row>
    <row r="48" spans="1:51" x14ac:dyDescent="0.3">
      <c r="A48" s="1" t="s">
        <v>103</v>
      </c>
      <c r="C48" s="7">
        <f t="shared" ref="C48:L48" si="14">SQRT(C51*C42)</f>
        <v>313.49009960826874</v>
      </c>
      <c r="D48" s="7">
        <f t="shared" si="14"/>
        <v>369.49461059828116</v>
      </c>
      <c r="E48" s="7">
        <f t="shared" si="14"/>
        <v>492.65884348491784</v>
      </c>
      <c r="F48" s="7">
        <f t="shared" si="14"/>
        <v>277.65545207644413</v>
      </c>
      <c r="G48" s="7">
        <f t="shared" si="14"/>
        <v>539.40503824465623</v>
      </c>
      <c r="H48" s="7">
        <f t="shared" si="14"/>
        <v>732.33483279432119</v>
      </c>
      <c r="I48" s="7">
        <f t="shared" si="14"/>
        <v>296.45100069394636</v>
      </c>
      <c r="J48" s="7">
        <f t="shared" si="14"/>
        <v>224.29653179390198</v>
      </c>
      <c r="K48" s="7">
        <f t="shared" si="14"/>
        <v>342.58874260130091</v>
      </c>
      <c r="L48" s="7">
        <f t="shared" si="14"/>
        <v>313.54589047568055</v>
      </c>
    </row>
    <row r="49" spans="1:39" x14ac:dyDescent="0.3">
      <c r="A49" s="1" t="s">
        <v>104</v>
      </c>
      <c r="C49" s="7">
        <f t="shared" ref="C49:L49" si="15">SQRT(C36/3/5/C35)</f>
        <v>57.735026918962575</v>
      </c>
      <c r="D49" s="7">
        <f t="shared" si="15"/>
        <v>53.108500454379431</v>
      </c>
      <c r="E49" s="7">
        <f t="shared" si="15"/>
        <v>57.735026918962575</v>
      </c>
      <c r="F49" s="7">
        <f t="shared" si="15"/>
        <v>83.770781658339104</v>
      </c>
      <c r="G49" s="7">
        <f t="shared" si="15"/>
        <v>67.783438940456506</v>
      </c>
      <c r="H49" s="7">
        <f t="shared" si="15"/>
        <v>65.465367070797711</v>
      </c>
      <c r="I49" s="7">
        <f t="shared" si="15"/>
        <v>67.806350362081034</v>
      </c>
      <c r="J49" s="7">
        <f t="shared" si="15"/>
        <v>53.838190205816552</v>
      </c>
      <c r="K49" s="7">
        <f t="shared" si="15"/>
        <v>59.234887775909236</v>
      </c>
      <c r="L49" s="7">
        <f t="shared" si="15"/>
        <v>59.234887775909236</v>
      </c>
      <c r="M49" s="1"/>
      <c r="N49" s="2" t="s">
        <v>105</v>
      </c>
    </row>
    <row r="50" spans="1:39" x14ac:dyDescent="0.3">
      <c r="A50" s="1" t="s">
        <v>106</v>
      </c>
      <c r="C50" s="7">
        <f t="shared" ref="C50:L50" si="16">SQRT(C51*C42+C42*$C$20*(C44*$C$18/C35+C39*$C$18/C35+C37*C37+C40*C40/C35/C35+C49*C49))/SQRT($C$19)/C42</f>
        <v>16.569896085035452</v>
      </c>
      <c r="D50" s="7">
        <f t="shared" si="16"/>
        <v>17.351812049563588</v>
      </c>
      <c r="E50" s="7">
        <f t="shared" si="16"/>
        <v>21.482701268156379</v>
      </c>
      <c r="F50" s="7">
        <f t="shared" si="16"/>
        <v>84.528885097845432</v>
      </c>
      <c r="G50" s="7">
        <f t="shared" si="16"/>
        <v>24.059802248073666</v>
      </c>
      <c r="H50" s="7">
        <f t="shared" si="16"/>
        <v>13.252383417658162</v>
      </c>
      <c r="I50" s="7">
        <f t="shared" si="16"/>
        <v>31.565694787479245</v>
      </c>
      <c r="J50" s="7">
        <f t="shared" si="16"/>
        <v>24.425537574979117</v>
      </c>
      <c r="K50" s="7">
        <f t="shared" si="16"/>
        <v>6.030714803670751</v>
      </c>
      <c r="L50" s="7">
        <f t="shared" si="16"/>
        <v>30.726195556442978</v>
      </c>
      <c r="N50" s="2" t="s">
        <v>107</v>
      </c>
    </row>
    <row r="51" spans="1:39" x14ac:dyDescent="0.3">
      <c r="A51" s="1" t="s">
        <v>108</v>
      </c>
      <c r="C51" s="27">
        <f t="shared" ref="C51:L51" si="17">T89*$C$18/C35/C42</f>
        <v>3388.8290535311125</v>
      </c>
      <c r="D51" s="27">
        <f t="shared" si="17"/>
        <v>4707.802319350877</v>
      </c>
      <c r="E51" s="27">
        <f t="shared" si="17"/>
        <v>8369.40469185851</v>
      </c>
      <c r="F51" s="27">
        <f t="shared" si="17"/>
        <v>19273.137516943643</v>
      </c>
      <c r="G51" s="27">
        <f t="shared" si="17"/>
        <v>10033.027423576517</v>
      </c>
      <c r="H51" s="27">
        <f t="shared" si="17"/>
        <v>6788.7887003023598</v>
      </c>
      <c r="I51" s="27">
        <f t="shared" si="17"/>
        <v>6760.2458317263217</v>
      </c>
      <c r="J51" s="27">
        <f t="shared" si="17"/>
        <v>3869.918013444068</v>
      </c>
      <c r="K51" s="27">
        <f t="shared" si="17"/>
        <v>762.12367894247029</v>
      </c>
      <c r="L51" s="27">
        <f t="shared" si="17"/>
        <v>7562.386571860573</v>
      </c>
      <c r="N51" s="2" t="s">
        <v>109</v>
      </c>
    </row>
    <row r="52" spans="1:39" x14ac:dyDescent="0.3">
      <c r="A52" s="1" t="s">
        <v>110</v>
      </c>
      <c r="C52" s="28">
        <f>2*C51</f>
        <v>6777.6581070622251</v>
      </c>
      <c r="D52" s="28">
        <f t="shared" ref="D52:L52" si="18">2*D51</f>
        <v>9415.6046387017541</v>
      </c>
      <c r="E52" s="28">
        <f t="shared" si="18"/>
        <v>16738.80938371702</v>
      </c>
      <c r="F52" s="28">
        <f t="shared" si="18"/>
        <v>38546.275033887287</v>
      </c>
      <c r="G52" s="28">
        <f t="shared" si="18"/>
        <v>20066.054847153035</v>
      </c>
      <c r="H52" s="28">
        <f t="shared" si="18"/>
        <v>13577.57740060472</v>
      </c>
      <c r="I52" s="28">
        <f t="shared" si="18"/>
        <v>13520.491663452643</v>
      </c>
      <c r="J52" s="28">
        <f t="shared" si="18"/>
        <v>7739.8360268881361</v>
      </c>
      <c r="K52" s="28">
        <f t="shared" si="18"/>
        <v>1524.2473578849406</v>
      </c>
      <c r="L52" s="28">
        <f t="shared" si="18"/>
        <v>15124.773143721146</v>
      </c>
      <c r="N52" s="2" t="s">
        <v>111</v>
      </c>
    </row>
    <row r="53" spans="1:39" x14ac:dyDescent="0.3">
      <c r="A53" s="1" t="s">
        <v>112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N53" s="2" t="s">
        <v>113</v>
      </c>
    </row>
    <row r="54" spans="1:39" x14ac:dyDescent="0.3">
      <c r="A54" s="1" t="s">
        <v>114</v>
      </c>
      <c r="B54" s="1"/>
      <c r="C54" s="29">
        <f t="shared" ref="C54:I54" si="19">SQRT($C$19)*C51/C50</f>
        <v>204.51721822152041</v>
      </c>
      <c r="D54" s="29">
        <f t="shared" si="19"/>
        <v>271.31473680694245</v>
      </c>
      <c r="E54" s="29">
        <f t="shared" si="19"/>
        <v>389.58809636590746</v>
      </c>
      <c r="F54" s="29">
        <f t="shared" si="19"/>
        <v>228.00652693613841</v>
      </c>
      <c r="G54" s="29">
        <f t="shared" si="19"/>
        <v>417.00373594632538</v>
      </c>
      <c r="H54" s="29">
        <f t="shared" si="19"/>
        <v>512.269264052278</v>
      </c>
      <c r="I54" s="29">
        <f t="shared" si="19"/>
        <v>214.16432862449841</v>
      </c>
      <c r="J54" s="29">
        <f>SQRT($C$19)*J51/J50</f>
        <v>158.43737324366245</v>
      </c>
      <c r="K54" s="29">
        <f>SQRT($C$19)*K51/K50</f>
        <v>126.37368931433865</v>
      </c>
      <c r="L54" s="29">
        <f>SQRT($C$19)*L51/L50</f>
        <v>246.12180046725035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9" x14ac:dyDescent="0.3">
      <c r="A55" s="1" t="s">
        <v>115</v>
      </c>
      <c r="C55" s="1">
        <f t="shared" ref="C55:I55" si="20">1.0857/C54</f>
        <v>5.3085994883034105E-3</v>
      </c>
      <c r="D55" s="1">
        <f t="shared" si="20"/>
        <v>4.0016256130331182E-3</v>
      </c>
      <c r="E55" s="1">
        <f t="shared" si="20"/>
        <v>2.7867894582186952E-3</v>
      </c>
      <c r="F55" s="1">
        <f t="shared" si="20"/>
        <v>4.7617057923262443E-3</v>
      </c>
      <c r="G55" s="1">
        <f t="shared" si="20"/>
        <v>2.6035737966140092E-3</v>
      </c>
      <c r="H55" s="1">
        <f t="shared" si="20"/>
        <v>2.1193932101481743E-3</v>
      </c>
      <c r="I55" s="1">
        <f t="shared" si="20"/>
        <v>5.0694716854719291E-3</v>
      </c>
      <c r="J55" s="1">
        <f>1.0857/J54</f>
        <v>6.8525498610122184E-3</v>
      </c>
      <c r="K55" s="1">
        <f>1.0857/K54</f>
        <v>8.5911870254848539E-3</v>
      </c>
      <c r="L55" s="1">
        <f>1.0857/L54</f>
        <v>4.4112305287010382E-3</v>
      </c>
    </row>
    <row r="56" spans="1:39" x14ac:dyDescent="0.3">
      <c r="A56" s="1"/>
      <c r="C56" s="1"/>
      <c r="AB56" s="30">
        <f>$G$7*AA56*X56</f>
        <v>0</v>
      </c>
    </row>
    <row r="57" spans="1:39" x14ac:dyDescent="0.3">
      <c r="F57" s="1" t="s">
        <v>116</v>
      </c>
      <c r="H57" s="1" t="s">
        <v>116</v>
      </c>
    </row>
    <row r="58" spans="1:39" x14ac:dyDescent="0.3">
      <c r="A58" s="11"/>
      <c r="B58" s="11"/>
      <c r="C58" s="11" t="s">
        <v>117</v>
      </c>
      <c r="D58" s="11" t="s">
        <v>117</v>
      </c>
      <c r="E58" s="11" t="s">
        <v>118</v>
      </c>
      <c r="F58" s="11" t="s">
        <v>119</v>
      </c>
      <c r="G58" s="11" t="s">
        <v>120</v>
      </c>
      <c r="H58" s="11" t="s">
        <v>121</v>
      </c>
      <c r="I58" s="11" t="s">
        <v>120</v>
      </c>
      <c r="J58" s="11" t="s">
        <v>122</v>
      </c>
      <c r="K58" s="11" t="s">
        <v>122</v>
      </c>
      <c r="L58" s="11" t="s">
        <v>122</v>
      </c>
      <c r="M58" s="11" t="s">
        <v>122</v>
      </c>
      <c r="N58" s="11" t="s">
        <v>122</v>
      </c>
      <c r="O58" s="11" t="s">
        <v>122</v>
      </c>
      <c r="P58" s="11" t="s">
        <v>122</v>
      </c>
      <c r="Q58" s="11" t="s">
        <v>122</v>
      </c>
      <c r="R58" s="1" t="s">
        <v>122</v>
      </c>
      <c r="S58" s="1" t="s">
        <v>122</v>
      </c>
      <c r="T58" s="11" t="s">
        <v>123</v>
      </c>
      <c r="U58" s="11" t="s">
        <v>123</v>
      </c>
      <c r="V58" s="11" t="s">
        <v>123</v>
      </c>
      <c r="W58" s="11" t="s">
        <v>123</v>
      </c>
      <c r="X58" s="11" t="s">
        <v>123</v>
      </c>
      <c r="Y58" s="11" t="s">
        <v>123</v>
      </c>
      <c r="Z58" s="11" t="s">
        <v>123</v>
      </c>
      <c r="AA58" s="11" t="s">
        <v>123</v>
      </c>
      <c r="AB58" s="11" t="s">
        <v>123</v>
      </c>
      <c r="AC58" s="11" t="s">
        <v>123</v>
      </c>
      <c r="AD58" s="11" t="s">
        <v>52</v>
      </c>
      <c r="AE58" s="11" t="s">
        <v>52</v>
      </c>
      <c r="AF58" s="11" t="s">
        <v>52</v>
      </c>
      <c r="AG58" s="11" t="s">
        <v>124</v>
      </c>
      <c r="AH58" s="11" t="s">
        <v>124</v>
      </c>
      <c r="AI58" s="11" t="s">
        <v>124</v>
      </c>
      <c r="AJ58" s="11" t="s">
        <v>124</v>
      </c>
      <c r="AK58" s="11" t="s">
        <v>124</v>
      </c>
      <c r="AL58" s="11" t="s">
        <v>124</v>
      </c>
      <c r="AM58" s="11" t="s">
        <v>124</v>
      </c>
    </row>
    <row r="59" spans="1:39" x14ac:dyDescent="0.3">
      <c r="A59" s="11" t="s">
        <v>125</v>
      </c>
      <c r="B59" s="11" t="s">
        <v>126</v>
      </c>
      <c r="C59" s="11" t="s">
        <v>127</v>
      </c>
      <c r="D59" s="11" t="s">
        <v>128</v>
      </c>
      <c r="E59" s="11" t="s">
        <v>129</v>
      </c>
      <c r="F59" s="11" t="s">
        <v>130</v>
      </c>
      <c r="G59" s="11">
        <f>C14</f>
        <v>13</v>
      </c>
      <c r="H59" s="11" t="s">
        <v>130</v>
      </c>
      <c r="I59" s="31">
        <f>C21</f>
        <v>19.5</v>
      </c>
      <c r="J59" s="11" t="s">
        <v>70</v>
      </c>
      <c r="K59" s="11" t="s">
        <v>71</v>
      </c>
      <c r="L59" s="1" t="s">
        <v>72</v>
      </c>
      <c r="M59" s="32" t="s">
        <v>73</v>
      </c>
      <c r="N59" s="11" t="s">
        <v>74</v>
      </c>
      <c r="O59" s="11" t="s">
        <v>162</v>
      </c>
      <c r="P59" s="11" t="s">
        <v>131</v>
      </c>
      <c r="Q59" s="11" t="s">
        <v>76</v>
      </c>
      <c r="R59" s="1" t="s">
        <v>77</v>
      </c>
      <c r="S59" s="1" t="s">
        <v>132</v>
      </c>
      <c r="T59" s="11" t="s">
        <v>70</v>
      </c>
      <c r="U59" s="11" t="s">
        <v>71</v>
      </c>
      <c r="V59" s="1" t="s">
        <v>72</v>
      </c>
      <c r="W59" s="32" t="s">
        <v>73</v>
      </c>
      <c r="X59" s="11" t="s">
        <v>74</v>
      </c>
      <c r="Y59" s="11" t="s">
        <v>162</v>
      </c>
      <c r="Z59" s="11" t="s">
        <v>131</v>
      </c>
      <c r="AA59" s="11" t="s">
        <v>76</v>
      </c>
      <c r="AB59" s="1" t="s">
        <v>77</v>
      </c>
      <c r="AC59" s="1" t="s">
        <v>132</v>
      </c>
      <c r="AD59" s="11" t="s">
        <v>70</v>
      </c>
      <c r="AE59" s="11" t="s">
        <v>71</v>
      </c>
      <c r="AF59" s="1" t="s">
        <v>72</v>
      </c>
      <c r="AG59" s="32" t="s">
        <v>73</v>
      </c>
      <c r="AH59" s="11" t="s">
        <v>74</v>
      </c>
      <c r="AI59" s="11" t="s">
        <v>162</v>
      </c>
      <c r="AJ59" s="11" t="s">
        <v>70</v>
      </c>
      <c r="AK59" s="11" t="s">
        <v>76</v>
      </c>
      <c r="AL59" s="1" t="s">
        <v>77</v>
      </c>
      <c r="AM59" s="1" t="s">
        <v>132</v>
      </c>
    </row>
    <row r="60" spans="1:39" x14ac:dyDescent="0.3">
      <c r="A60" s="11"/>
      <c r="B60" s="11"/>
      <c r="C60" s="11"/>
      <c r="D60" s="11"/>
      <c r="E60" s="11"/>
      <c r="F60" s="11"/>
      <c r="G60" s="11"/>
      <c r="J60" s="11"/>
      <c r="K60" s="11"/>
      <c r="L60" s="11"/>
      <c r="M60" s="32"/>
      <c r="N60" s="11"/>
      <c r="O60" s="11"/>
      <c r="P60" s="11"/>
      <c r="Q60" s="11"/>
      <c r="T60" s="11"/>
      <c r="U60" s="11"/>
      <c r="V60" s="11"/>
      <c r="W60" s="32"/>
      <c r="X60" s="11"/>
      <c r="Y60" s="11"/>
      <c r="Z60" s="11"/>
      <c r="AA60" s="11"/>
      <c r="AB60" s="11"/>
      <c r="AC60" s="11"/>
      <c r="AD60" s="11"/>
      <c r="AE60" s="11"/>
      <c r="AF60" s="11"/>
      <c r="AG60" s="32"/>
      <c r="AH60" s="11"/>
      <c r="AI60" s="11"/>
      <c r="AJ60" s="11"/>
    </row>
    <row r="61" spans="1:39" ht="14.6" x14ac:dyDescent="0.4">
      <c r="A61" s="33">
        <v>3000</v>
      </c>
      <c r="B61" s="34">
        <v>250433.30049571968</v>
      </c>
      <c r="C61" s="7">
        <v>0.18528315789473684</v>
      </c>
      <c r="D61">
        <v>0.3621273684210527</v>
      </c>
      <c r="E61" s="53">
        <v>0.3</v>
      </c>
      <c r="F61" s="30">
        <f>$G$7*$C$17*E61*IF($C$24=1,C61^$E$16,D61^$E$16)*(B61)</f>
        <v>25793854.03046082</v>
      </c>
      <c r="G61" s="27">
        <f t="shared" ref="G61:G87" si="21">F61*$E$14</f>
        <v>162.65258954582319</v>
      </c>
      <c r="H61" s="30">
        <f>$G$7*$C$17*E61*IF($C$24=1,C61^$E$16,D61^$E$16)*(B61*(1-$J$21)+$J$21*E134)</f>
        <v>25280499.35780853</v>
      </c>
      <c r="I61">
        <f>H61*$E$21</f>
        <v>0.40031583029389339</v>
      </c>
      <c r="J61">
        <v>0.01</v>
      </c>
      <c r="K61" s="18">
        <v>0.05</v>
      </c>
      <c r="L61">
        <v>0</v>
      </c>
      <c r="M61" s="35"/>
      <c r="N61" s="35">
        <v>0.01</v>
      </c>
      <c r="O61" s="35">
        <v>0.1</v>
      </c>
      <c r="P61" s="18">
        <v>0.01</v>
      </c>
      <c r="Q61" s="18">
        <v>0.01</v>
      </c>
      <c r="R61">
        <v>0.56999999999999995</v>
      </c>
      <c r="T61" s="7">
        <f t="shared" ref="T61:AC77" si="22">J61*$G61</f>
        <v>1.626525895458232</v>
      </c>
      <c r="U61" s="7">
        <f t="shared" si="22"/>
        <v>8.1326294772911591</v>
      </c>
      <c r="V61" s="7">
        <f t="shared" si="22"/>
        <v>0</v>
      </c>
      <c r="W61" s="7">
        <f t="shared" si="22"/>
        <v>0</v>
      </c>
      <c r="X61" s="7">
        <f t="shared" si="22"/>
        <v>1.626525895458232</v>
      </c>
      <c r="Y61" s="7">
        <f t="shared" si="22"/>
        <v>16.265258954582318</v>
      </c>
      <c r="Z61" s="7">
        <f t="shared" si="22"/>
        <v>1.626525895458232</v>
      </c>
      <c r="AA61" s="7">
        <f t="shared" si="22"/>
        <v>1.626525895458232</v>
      </c>
      <c r="AB61" s="7">
        <f t="shared" si="22"/>
        <v>92.711976041119215</v>
      </c>
      <c r="AC61" s="7">
        <f t="shared" si="22"/>
        <v>0</v>
      </c>
      <c r="AD61" s="36">
        <f>J61*$I61</f>
        <v>4.0031583029389341E-3</v>
      </c>
      <c r="AE61" s="36">
        <f t="shared" ref="AE61:AM76" si="23">K61*$I61</f>
        <v>2.001579151469467E-2</v>
      </c>
      <c r="AF61" s="36">
        <f t="shared" si="23"/>
        <v>0</v>
      </c>
      <c r="AG61" s="36">
        <f t="shared" si="23"/>
        <v>0</v>
      </c>
      <c r="AH61" s="36">
        <f t="shared" si="23"/>
        <v>4.0031583029389341E-3</v>
      </c>
      <c r="AI61" s="36">
        <f t="shared" si="23"/>
        <v>4.0031583029389341E-2</v>
      </c>
      <c r="AJ61" s="36">
        <f t="shared" si="23"/>
        <v>4.0031583029389341E-3</v>
      </c>
      <c r="AK61" s="36">
        <f t="shared" si="23"/>
        <v>4.0031583029389341E-3</v>
      </c>
      <c r="AL61" s="36">
        <f t="shared" si="23"/>
        <v>0.22818002326751921</v>
      </c>
      <c r="AM61" s="36">
        <f t="shared" si="23"/>
        <v>0</v>
      </c>
    </row>
    <row r="62" spans="1:39" ht="14.6" x14ac:dyDescent="0.4">
      <c r="A62" s="33">
        <v>3500</v>
      </c>
      <c r="B62" s="34">
        <v>281472.64402542828</v>
      </c>
      <c r="C62" s="7">
        <v>0.37741944444444442</v>
      </c>
      <c r="D62">
        <v>0.64073194444444415</v>
      </c>
      <c r="E62">
        <v>0.2</v>
      </c>
      <c r="F62" s="30">
        <f t="shared" ref="F62:F87" si="24">$G$7*$C$17*E62*IF($C$24=1,C62^$E$16,D62^$E$16)*(B62)</f>
        <v>35467752.618566692</v>
      </c>
      <c r="G62" s="27">
        <f t="shared" si="21"/>
        <v>223.65489864243676</v>
      </c>
      <c r="H62" s="30">
        <f t="shared" ref="H62:H87" si="25">$G$7*$C$17*E62*IF($C$24=1,C62^$E$16,D62^$E$16)*(B62*(1-$J$21)+$J$21*E135)</f>
        <v>34761865.994810708</v>
      </c>
      <c r="I62">
        <f t="shared" ref="I62:I87" si="26">H62*$E$21</f>
        <v>0.5504529420610309</v>
      </c>
      <c r="J62">
        <v>0.18</v>
      </c>
      <c r="K62" s="18">
        <v>0.33</v>
      </c>
      <c r="L62">
        <v>0.17</v>
      </c>
      <c r="M62" s="35">
        <v>1.7999999999999999E-2</v>
      </c>
      <c r="N62" s="35">
        <v>0.19</v>
      </c>
      <c r="O62" s="35">
        <v>0.05</v>
      </c>
      <c r="P62" s="18">
        <v>0.28000000000000003</v>
      </c>
      <c r="Q62" s="18">
        <v>0.25</v>
      </c>
      <c r="R62">
        <v>0.72</v>
      </c>
      <c r="S62">
        <v>0.33</v>
      </c>
      <c r="T62" s="7">
        <f t="shared" si="22"/>
        <v>40.257881755638614</v>
      </c>
      <c r="U62" s="7">
        <f t="shared" si="22"/>
        <v>73.806116552004141</v>
      </c>
      <c r="V62" s="7">
        <f t="shared" si="22"/>
        <v>38.021332769214254</v>
      </c>
      <c r="W62" s="7">
        <f t="shared" si="22"/>
        <v>4.0257881755638616</v>
      </c>
      <c r="X62" s="7">
        <f t="shared" si="22"/>
        <v>42.494430742062988</v>
      </c>
      <c r="Y62" s="7">
        <f t="shared" si="22"/>
        <v>11.182744932121839</v>
      </c>
      <c r="Z62" s="7">
        <f t="shared" si="22"/>
        <v>62.623371619882299</v>
      </c>
      <c r="AA62" s="7">
        <f t="shared" si="22"/>
        <v>55.913724660609191</v>
      </c>
      <c r="AB62" s="7">
        <f t="shared" si="22"/>
        <v>161.03152702255446</v>
      </c>
      <c r="AC62" s="7">
        <f t="shared" si="22"/>
        <v>73.806116552004141</v>
      </c>
      <c r="AD62" s="36">
        <f t="shared" ref="AD62:AM77" si="27">J62*$I62</f>
        <v>9.9081529570985552E-2</v>
      </c>
      <c r="AE62" s="36">
        <f t="shared" si="23"/>
        <v>0.18164947088014022</v>
      </c>
      <c r="AF62" s="36">
        <f t="shared" si="23"/>
        <v>9.3577000150375261E-2</v>
      </c>
      <c r="AG62" s="36">
        <f t="shared" si="23"/>
        <v>9.9081529570985549E-3</v>
      </c>
      <c r="AH62" s="36">
        <f t="shared" si="23"/>
        <v>0.10458605899159587</v>
      </c>
      <c r="AI62" s="36">
        <f t="shared" si="23"/>
        <v>2.7522647103051547E-2</v>
      </c>
      <c r="AJ62" s="36">
        <f t="shared" si="23"/>
        <v>0.15412682377708867</v>
      </c>
      <c r="AK62" s="36">
        <f t="shared" si="23"/>
        <v>0.13761323551525773</v>
      </c>
      <c r="AL62" s="36">
        <f t="shared" si="23"/>
        <v>0.39632611828394221</v>
      </c>
      <c r="AM62" s="36">
        <f t="shared" si="23"/>
        <v>0.18164947088014022</v>
      </c>
    </row>
    <row r="63" spans="1:39" ht="14.6" x14ac:dyDescent="0.4">
      <c r="A63" s="37">
        <v>4000</v>
      </c>
      <c r="B63" s="34">
        <v>448012.84532065521</v>
      </c>
      <c r="C63" s="7">
        <v>0.48223928571428581</v>
      </c>
      <c r="D63">
        <v>0.74323035714285723</v>
      </c>
      <c r="E63">
        <v>0.04</v>
      </c>
      <c r="F63" s="30">
        <f t="shared" si="24"/>
        <v>13221686.486687448</v>
      </c>
      <c r="G63" s="27">
        <f t="shared" si="21"/>
        <v>83.374184512445652</v>
      </c>
      <c r="H63" s="30">
        <f t="shared" si="25"/>
        <v>13155691.093192844</v>
      </c>
      <c r="I63">
        <f t="shared" si="26"/>
        <v>0.20831991206039208</v>
      </c>
      <c r="J63">
        <v>0.46</v>
      </c>
      <c r="K63" s="7">
        <v>0.6</v>
      </c>
      <c r="L63">
        <v>0.37</v>
      </c>
      <c r="M63" s="7">
        <v>0.39</v>
      </c>
      <c r="N63" s="7">
        <v>0.38</v>
      </c>
      <c r="O63">
        <v>0.45</v>
      </c>
      <c r="P63" s="7">
        <v>0.42</v>
      </c>
      <c r="Q63" s="7">
        <v>0.43</v>
      </c>
      <c r="R63">
        <v>0.74</v>
      </c>
      <c r="S63">
        <v>0.75</v>
      </c>
      <c r="T63" s="7">
        <f t="shared" si="22"/>
        <v>38.352124875725004</v>
      </c>
      <c r="U63" s="7">
        <f t="shared" si="22"/>
        <v>50.024510707467392</v>
      </c>
      <c r="V63" s="7">
        <f t="shared" si="22"/>
        <v>30.848448269604891</v>
      </c>
      <c r="W63" s="7">
        <f t="shared" si="22"/>
        <v>32.515931959853802</v>
      </c>
      <c r="X63" s="7">
        <f t="shared" si="22"/>
        <v>31.682190114729348</v>
      </c>
      <c r="Y63" s="7">
        <f t="shared" si="22"/>
        <v>37.518383030600546</v>
      </c>
      <c r="Z63" s="7">
        <f t="shared" si="22"/>
        <v>35.017157495227174</v>
      </c>
      <c r="AA63" s="7">
        <f t="shared" si="22"/>
        <v>35.850899340351631</v>
      </c>
      <c r="AB63" s="7">
        <f t="shared" si="22"/>
        <v>61.696896539209781</v>
      </c>
      <c r="AC63" s="7">
        <f t="shared" si="22"/>
        <v>62.530638384334239</v>
      </c>
      <c r="AD63" s="36">
        <f t="shared" si="27"/>
        <v>9.5827159547780358E-2</v>
      </c>
      <c r="AE63" s="36">
        <f t="shared" si="23"/>
        <v>0.12499194723623525</v>
      </c>
      <c r="AF63" s="36">
        <f t="shared" si="23"/>
        <v>7.7078367462345074E-2</v>
      </c>
      <c r="AG63" s="36">
        <f t="shared" si="23"/>
        <v>8.1244765703552907E-2</v>
      </c>
      <c r="AH63" s="36">
        <f t="shared" si="23"/>
        <v>7.9161566582948983E-2</v>
      </c>
      <c r="AI63" s="36">
        <f t="shared" si="23"/>
        <v>9.3743960427176434E-2</v>
      </c>
      <c r="AJ63" s="36">
        <f t="shared" si="23"/>
        <v>8.7494363065364664E-2</v>
      </c>
      <c r="AK63" s="36">
        <f t="shared" si="23"/>
        <v>8.9577562185968587E-2</v>
      </c>
      <c r="AL63" s="36">
        <f t="shared" si="23"/>
        <v>0.15415673492469015</v>
      </c>
      <c r="AM63" s="36">
        <f t="shared" si="23"/>
        <v>0.15623993404529407</v>
      </c>
    </row>
    <row r="64" spans="1:39" ht="14.6" x14ac:dyDescent="0.4">
      <c r="A64" s="37">
        <v>4500</v>
      </c>
      <c r="B64" s="34">
        <v>745026.0256916025</v>
      </c>
      <c r="C64" s="7">
        <v>0.55963409090909078</v>
      </c>
      <c r="D64">
        <v>0.80553181818181807</v>
      </c>
      <c r="E64">
        <v>0.02</v>
      </c>
      <c r="F64" s="30">
        <f t="shared" si="24"/>
        <v>11976584.749192877</v>
      </c>
      <c r="G64" s="27">
        <f t="shared" si="21"/>
        <v>75.522739683288506</v>
      </c>
      <c r="H64" s="30">
        <f t="shared" si="25"/>
        <v>11976660.897650791</v>
      </c>
      <c r="I64">
        <f t="shared" si="26"/>
        <v>0.18965000981717536</v>
      </c>
      <c r="J64">
        <v>0.56000000000000005</v>
      </c>
      <c r="K64" s="7">
        <v>0.62</v>
      </c>
      <c r="L64">
        <v>0.57999999999999996</v>
      </c>
      <c r="M64" s="7">
        <v>0.4</v>
      </c>
      <c r="N64" s="7">
        <v>0.45</v>
      </c>
      <c r="O64">
        <v>0.65</v>
      </c>
      <c r="P64" s="7">
        <v>0.48</v>
      </c>
      <c r="Q64" s="7">
        <v>0.45</v>
      </c>
      <c r="R64">
        <v>0.73</v>
      </c>
      <c r="S64">
        <v>0.83</v>
      </c>
      <c r="T64" s="7">
        <f t="shared" si="22"/>
        <v>42.29273422264157</v>
      </c>
      <c r="U64" s="7">
        <f t="shared" si="22"/>
        <v>46.824098603638873</v>
      </c>
      <c r="V64" s="7">
        <f t="shared" si="22"/>
        <v>43.803189016307329</v>
      </c>
      <c r="W64" s="7">
        <f t="shared" si="22"/>
        <v>30.209095873315405</v>
      </c>
      <c r="X64" s="7">
        <f t="shared" si="22"/>
        <v>33.985232857479829</v>
      </c>
      <c r="Y64" s="7">
        <f t="shared" si="22"/>
        <v>49.089780794137532</v>
      </c>
      <c r="Z64" s="7">
        <f t="shared" si="22"/>
        <v>36.250915047978481</v>
      </c>
      <c r="AA64" s="7">
        <f t="shared" si="22"/>
        <v>33.985232857479829</v>
      </c>
      <c r="AB64" s="7">
        <f t="shared" si="22"/>
        <v>55.131599968800607</v>
      </c>
      <c r="AC64" s="7">
        <f t="shared" si="22"/>
        <v>62.683873937129455</v>
      </c>
      <c r="AD64" s="36">
        <f t="shared" si="27"/>
        <v>0.10620400549761821</v>
      </c>
      <c r="AE64" s="36">
        <f t="shared" si="23"/>
        <v>0.11758300608664872</v>
      </c>
      <c r="AF64" s="36">
        <f t="shared" si="23"/>
        <v>0.1099970056939617</v>
      </c>
      <c r="AG64" s="36">
        <f t="shared" si="23"/>
        <v>7.5860003926870145E-2</v>
      </c>
      <c r="AH64" s="36">
        <f t="shared" si="23"/>
        <v>8.534250441772892E-2</v>
      </c>
      <c r="AI64" s="36">
        <f t="shared" si="23"/>
        <v>0.12327250638116399</v>
      </c>
      <c r="AJ64" s="36">
        <f t="shared" si="23"/>
        <v>9.1032004712244166E-2</v>
      </c>
      <c r="AK64" s="36">
        <f t="shared" si="23"/>
        <v>8.534250441772892E-2</v>
      </c>
      <c r="AL64" s="36">
        <f t="shared" si="23"/>
        <v>0.138444507166538</v>
      </c>
      <c r="AM64" s="36">
        <f t="shared" si="23"/>
        <v>0.15740950814825555</v>
      </c>
    </row>
    <row r="65" spans="1:40" ht="14.6" x14ac:dyDescent="0.4">
      <c r="A65" s="38">
        <v>5000</v>
      </c>
      <c r="B65" s="34">
        <v>631384.105279968</v>
      </c>
      <c r="C65" s="7">
        <v>0.61489189189189175</v>
      </c>
      <c r="D65">
        <v>0.83796486486486488</v>
      </c>
      <c r="E65">
        <v>0.7</v>
      </c>
      <c r="F65" s="30">
        <f t="shared" si="24"/>
        <v>370478296.95440233</v>
      </c>
      <c r="G65" s="27">
        <f t="shared" si="21"/>
        <v>2336.1865310627036</v>
      </c>
      <c r="H65" s="30">
        <f t="shared" si="25"/>
        <v>366789696.00900304</v>
      </c>
      <c r="I65">
        <f t="shared" si="26"/>
        <v>5.8081021115485232</v>
      </c>
      <c r="J65">
        <v>0.54</v>
      </c>
      <c r="K65" s="7">
        <v>0.67</v>
      </c>
      <c r="L65">
        <v>0.65</v>
      </c>
      <c r="M65" s="7">
        <v>0.5</v>
      </c>
      <c r="N65" s="7">
        <v>0.52</v>
      </c>
      <c r="O65">
        <v>0.73</v>
      </c>
      <c r="P65" s="7">
        <v>0.51</v>
      </c>
      <c r="Q65" s="7">
        <v>0.56000000000000005</v>
      </c>
      <c r="R65">
        <v>0.74</v>
      </c>
      <c r="S65">
        <v>0.84</v>
      </c>
      <c r="T65" s="7">
        <f t="shared" si="22"/>
        <v>1261.5407267738601</v>
      </c>
      <c r="U65" s="7">
        <f t="shared" si="22"/>
        <v>1565.2449758120115</v>
      </c>
      <c r="V65" s="7">
        <f t="shared" si="22"/>
        <v>1518.5212451907573</v>
      </c>
      <c r="W65" s="7">
        <f t="shared" si="22"/>
        <v>1168.0932655313518</v>
      </c>
      <c r="X65" s="7">
        <f t="shared" si="22"/>
        <v>1214.816996152606</v>
      </c>
      <c r="Y65" s="7">
        <f t="shared" si="22"/>
        <v>1705.4161676757735</v>
      </c>
      <c r="Z65" s="7">
        <f t="shared" si="22"/>
        <v>1191.4551308419789</v>
      </c>
      <c r="AA65" s="7">
        <f t="shared" si="22"/>
        <v>1308.2644573951141</v>
      </c>
      <c r="AB65" s="7">
        <f t="shared" si="22"/>
        <v>1728.7780329864006</v>
      </c>
      <c r="AC65" s="7">
        <f t="shared" si="22"/>
        <v>1962.396686092671</v>
      </c>
      <c r="AD65" s="36">
        <f t="shared" si="27"/>
        <v>3.1363751402362028</v>
      </c>
      <c r="AE65" s="36">
        <f t="shared" si="23"/>
        <v>3.8914284147375109</v>
      </c>
      <c r="AF65" s="36">
        <f t="shared" si="23"/>
        <v>3.7752663725065401</v>
      </c>
      <c r="AG65" s="36">
        <f t="shared" si="23"/>
        <v>2.9040510557742616</v>
      </c>
      <c r="AH65" s="36">
        <f t="shared" si="23"/>
        <v>3.020213098005232</v>
      </c>
      <c r="AI65" s="36">
        <f t="shared" si="23"/>
        <v>4.239914541430422</v>
      </c>
      <c r="AJ65" s="36">
        <f t="shared" si="23"/>
        <v>2.962132076889747</v>
      </c>
      <c r="AK65" s="36">
        <f t="shared" si="23"/>
        <v>3.2525371824671732</v>
      </c>
      <c r="AL65" s="36">
        <f t="shared" si="23"/>
        <v>4.297995562545907</v>
      </c>
      <c r="AM65" s="36">
        <f t="shared" si="23"/>
        <v>4.8788057737007593</v>
      </c>
    </row>
    <row r="66" spans="1:40" ht="14.6" x14ac:dyDescent="0.4">
      <c r="A66" s="38">
        <v>5500</v>
      </c>
      <c r="B66" s="34">
        <v>539483.53724920237</v>
      </c>
      <c r="C66" s="7">
        <v>0.64467999999999992</v>
      </c>
      <c r="D66">
        <v>0.8495299999999999</v>
      </c>
      <c r="E66">
        <v>0.96</v>
      </c>
      <c r="F66" s="30">
        <f t="shared" si="24"/>
        <v>440508363.46624321</v>
      </c>
      <c r="G66" s="27">
        <f t="shared" si="21"/>
        <v>2777.7867529902078</v>
      </c>
      <c r="H66" s="30">
        <f t="shared" si="25"/>
        <v>475189482.57284433</v>
      </c>
      <c r="I66">
        <f t="shared" si="26"/>
        <v>7.5246089711561659</v>
      </c>
      <c r="J66">
        <v>0.47</v>
      </c>
      <c r="K66" s="7">
        <v>0.8</v>
      </c>
      <c r="L66">
        <v>0.64</v>
      </c>
      <c r="M66" s="7">
        <v>0.7</v>
      </c>
      <c r="N66" s="7">
        <v>0.56000000000000005</v>
      </c>
      <c r="O66">
        <v>0.77</v>
      </c>
      <c r="P66" s="7">
        <v>0.44</v>
      </c>
      <c r="Q66" s="7">
        <v>0.6</v>
      </c>
      <c r="R66">
        <v>0.82</v>
      </c>
      <c r="S66">
        <v>0.83</v>
      </c>
      <c r="T66" s="7">
        <f t="shared" si="22"/>
        <v>1305.5597739053976</v>
      </c>
      <c r="U66" s="7">
        <f t="shared" si="22"/>
        <v>2222.2294023921663</v>
      </c>
      <c r="V66" s="7">
        <f t="shared" si="22"/>
        <v>1777.783521913733</v>
      </c>
      <c r="W66" s="7">
        <f t="shared" si="22"/>
        <v>1944.4507270931454</v>
      </c>
      <c r="X66" s="7">
        <f t="shared" si="22"/>
        <v>1555.5605816745165</v>
      </c>
      <c r="Y66" s="7">
        <f t="shared" si="22"/>
        <v>2138.8957998024603</v>
      </c>
      <c r="Z66" s="7">
        <f t="shared" si="22"/>
        <v>1222.2261713156915</v>
      </c>
      <c r="AA66" s="7">
        <f t="shared" si="22"/>
        <v>1666.6720517941246</v>
      </c>
      <c r="AB66" s="7">
        <f t="shared" si="22"/>
        <v>2277.7851374519701</v>
      </c>
      <c r="AC66" s="7">
        <f t="shared" si="22"/>
        <v>2305.5630049818724</v>
      </c>
      <c r="AD66" s="36">
        <f t="shared" si="27"/>
        <v>3.536566216443398</v>
      </c>
      <c r="AE66" s="36">
        <f t="shared" si="23"/>
        <v>6.0196871769249327</v>
      </c>
      <c r="AF66" s="36">
        <f t="shared" si="23"/>
        <v>4.8157497415399462</v>
      </c>
      <c r="AG66" s="36">
        <f t="shared" si="23"/>
        <v>5.2672262798093161</v>
      </c>
      <c r="AH66" s="36">
        <f t="shared" si="23"/>
        <v>4.2137810238474529</v>
      </c>
      <c r="AI66" s="36">
        <f t="shared" si="23"/>
        <v>5.7939489077902477</v>
      </c>
      <c r="AJ66" s="36">
        <f t="shared" si="23"/>
        <v>3.310827947308713</v>
      </c>
      <c r="AK66" s="36">
        <f t="shared" si="23"/>
        <v>4.5147653826936995</v>
      </c>
      <c r="AL66" s="36">
        <f t="shared" si="23"/>
        <v>6.170179356348056</v>
      </c>
      <c r="AM66" s="36">
        <f t="shared" si="23"/>
        <v>6.2454254460596177</v>
      </c>
    </row>
    <row r="67" spans="1:40" ht="14.6" x14ac:dyDescent="0.4">
      <c r="A67" s="39">
        <v>6000</v>
      </c>
      <c r="B67" s="34">
        <v>449548.48743688496</v>
      </c>
      <c r="C67" s="7">
        <v>0.68446153846153834</v>
      </c>
      <c r="D67">
        <v>0.87297692307692298</v>
      </c>
      <c r="E67">
        <v>0.96499999999999997</v>
      </c>
      <c r="F67" s="30">
        <f t="shared" si="24"/>
        <v>379829646.0098474</v>
      </c>
      <c r="G67" s="27">
        <f t="shared" si="21"/>
        <v>2395.1548859979066</v>
      </c>
      <c r="H67" s="30">
        <f t="shared" si="25"/>
        <v>401510339.35929799</v>
      </c>
      <c r="I67">
        <f t="shared" si="26"/>
        <v>6.3579022944637531</v>
      </c>
      <c r="J67">
        <v>0.41</v>
      </c>
      <c r="K67" s="7">
        <v>0.86</v>
      </c>
      <c r="L67">
        <v>0.62</v>
      </c>
      <c r="M67" s="7">
        <v>0.67</v>
      </c>
      <c r="N67" s="7">
        <v>0.51</v>
      </c>
      <c r="O67">
        <v>0.76</v>
      </c>
      <c r="P67" s="7">
        <v>0.37</v>
      </c>
      <c r="Q67" s="7">
        <v>0.56999999999999995</v>
      </c>
      <c r="R67">
        <v>0.87</v>
      </c>
      <c r="S67">
        <v>0.78</v>
      </c>
      <c r="T67" s="7">
        <f t="shared" si="22"/>
        <v>982.01350325914166</v>
      </c>
      <c r="U67" s="7">
        <f t="shared" si="22"/>
        <v>2059.8332019581994</v>
      </c>
      <c r="V67" s="7">
        <f t="shared" si="22"/>
        <v>1484.9960293187021</v>
      </c>
      <c r="W67" s="7">
        <f t="shared" si="22"/>
        <v>1604.7537736185975</v>
      </c>
      <c r="X67" s="7">
        <f t="shared" si="22"/>
        <v>1221.5289918589324</v>
      </c>
      <c r="Y67" s="7">
        <f t="shared" si="22"/>
        <v>1820.317713358409</v>
      </c>
      <c r="Z67" s="7">
        <f t="shared" si="22"/>
        <v>886.20730781922543</v>
      </c>
      <c r="AA67" s="7">
        <f t="shared" si="22"/>
        <v>1365.2382850188067</v>
      </c>
      <c r="AB67" s="7">
        <f t="shared" si="22"/>
        <v>2083.7847508181785</v>
      </c>
      <c r="AC67" s="7">
        <f t="shared" si="22"/>
        <v>1868.2208110783672</v>
      </c>
      <c r="AD67" s="36">
        <f t="shared" si="27"/>
        <v>2.6067399407301388</v>
      </c>
      <c r="AE67" s="36">
        <f t="shared" si="23"/>
        <v>5.4677959732388279</v>
      </c>
      <c r="AF67" s="36">
        <f t="shared" si="23"/>
        <v>3.941899422567527</v>
      </c>
      <c r="AG67" s="36">
        <f t="shared" si="23"/>
        <v>4.2597945372907144</v>
      </c>
      <c r="AH67" s="36">
        <f t="shared" si="23"/>
        <v>3.2425301701765141</v>
      </c>
      <c r="AI67" s="36">
        <f t="shared" si="23"/>
        <v>4.8320057437924522</v>
      </c>
      <c r="AJ67" s="36">
        <f t="shared" si="23"/>
        <v>2.3524238489515885</v>
      </c>
      <c r="AK67" s="36">
        <f t="shared" si="23"/>
        <v>3.6240043078443391</v>
      </c>
      <c r="AL67" s="36">
        <f t="shared" si="23"/>
        <v>5.5313749961834651</v>
      </c>
      <c r="AM67" s="36">
        <f t="shared" si="23"/>
        <v>4.9591637896817273</v>
      </c>
    </row>
    <row r="68" spans="1:40" ht="14.6" x14ac:dyDescent="0.4">
      <c r="A68" s="40">
        <v>6500</v>
      </c>
      <c r="B68" s="34">
        <v>378656.59219148918</v>
      </c>
      <c r="C68" s="7">
        <v>0.71205000000000007</v>
      </c>
      <c r="D68">
        <v>0.89294090909090895</v>
      </c>
      <c r="E68">
        <v>0.95499999999999996</v>
      </c>
      <c r="F68" s="30">
        <f t="shared" si="24"/>
        <v>324326108.91644573</v>
      </c>
      <c r="G68" s="27">
        <f t="shared" si="21"/>
        <v>2045.1570133832438</v>
      </c>
      <c r="H68" s="30">
        <f t="shared" si="25"/>
        <v>321399547.0656361</v>
      </c>
      <c r="I68">
        <f t="shared" si="26"/>
        <v>5.089350677715986</v>
      </c>
      <c r="J68">
        <v>0.31</v>
      </c>
      <c r="K68" s="7">
        <v>0.85</v>
      </c>
      <c r="L68">
        <v>0.56000000000000005</v>
      </c>
      <c r="M68" s="7">
        <v>0.64</v>
      </c>
      <c r="N68" s="7">
        <v>0.47</v>
      </c>
      <c r="O68">
        <v>0.7</v>
      </c>
      <c r="P68" s="7">
        <v>0.32</v>
      </c>
      <c r="Q68" s="7">
        <v>0.46</v>
      </c>
      <c r="R68">
        <v>0.94</v>
      </c>
      <c r="S68">
        <v>0.77</v>
      </c>
      <c r="T68" s="7">
        <f t="shared" si="22"/>
        <v>633.99867414880555</v>
      </c>
      <c r="U68" s="7">
        <f t="shared" si="22"/>
        <v>1738.3834613757572</v>
      </c>
      <c r="V68" s="7">
        <f t="shared" si="22"/>
        <v>1145.2879274946167</v>
      </c>
      <c r="W68" s="7">
        <f t="shared" si="22"/>
        <v>1308.900488565276</v>
      </c>
      <c r="X68" s="7">
        <f t="shared" si="22"/>
        <v>961.22379629012448</v>
      </c>
      <c r="Y68" s="7">
        <f t="shared" si="22"/>
        <v>1431.6099093682706</v>
      </c>
      <c r="Z68" s="7">
        <f t="shared" si="22"/>
        <v>654.45024428263798</v>
      </c>
      <c r="AA68" s="7">
        <f t="shared" si="22"/>
        <v>940.77222615629216</v>
      </c>
      <c r="AB68" s="7">
        <f t="shared" si="22"/>
        <v>1922.447592580249</v>
      </c>
      <c r="AC68" s="7">
        <f t="shared" si="22"/>
        <v>1574.7709003050977</v>
      </c>
      <c r="AD68" s="36">
        <f t="shared" si="27"/>
        <v>1.5776987100919557</v>
      </c>
      <c r="AE68" s="36">
        <f t="shared" si="23"/>
        <v>4.3259480760585882</v>
      </c>
      <c r="AF68" s="36">
        <f t="shared" si="23"/>
        <v>2.8500363795209522</v>
      </c>
      <c r="AG68" s="36">
        <f t="shared" si="23"/>
        <v>3.2571844337382312</v>
      </c>
      <c r="AH68" s="36">
        <f t="shared" si="23"/>
        <v>2.3919948185265132</v>
      </c>
      <c r="AI68" s="36">
        <f t="shared" si="23"/>
        <v>3.56254547440119</v>
      </c>
      <c r="AJ68" s="36">
        <f t="shared" si="23"/>
        <v>1.6285922168691156</v>
      </c>
      <c r="AK68" s="36">
        <f t="shared" si="23"/>
        <v>2.3411013117493535</v>
      </c>
      <c r="AL68" s="36">
        <f t="shared" si="23"/>
        <v>4.7839896370530264</v>
      </c>
      <c r="AM68" s="36">
        <f t="shared" si="23"/>
        <v>3.9188000218413093</v>
      </c>
    </row>
    <row r="69" spans="1:40" ht="14.6" x14ac:dyDescent="0.4">
      <c r="A69" s="41">
        <v>7000</v>
      </c>
      <c r="B69" s="34">
        <v>313993.80832908634</v>
      </c>
      <c r="C69" s="7">
        <v>0.71845263157894734</v>
      </c>
      <c r="D69">
        <v>0.90685263157894735</v>
      </c>
      <c r="E69">
        <v>0.96</v>
      </c>
      <c r="F69" s="30">
        <f t="shared" si="24"/>
        <v>274832913.0456115</v>
      </c>
      <c r="G69" s="27">
        <f t="shared" si="21"/>
        <v>1733.0595476930414</v>
      </c>
      <c r="H69" s="30">
        <f t="shared" si="25"/>
        <v>270666251.33735257</v>
      </c>
      <c r="I69">
        <f t="shared" si="26"/>
        <v>4.2859906999099939</v>
      </c>
      <c r="J69">
        <v>0.24</v>
      </c>
      <c r="K69" s="7">
        <v>0.78</v>
      </c>
      <c r="L69">
        <v>0.45</v>
      </c>
      <c r="M69" s="7">
        <v>0.61</v>
      </c>
      <c r="N69" s="7">
        <v>0.42</v>
      </c>
      <c r="O69">
        <v>0.6</v>
      </c>
      <c r="P69" s="7">
        <v>0.24</v>
      </c>
      <c r="Q69" s="7">
        <v>0.42</v>
      </c>
      <c r="R69">
        <v>0.96</v>
      </c>
      <c r="S69">
        <v>0.74</v>
      </c>
      <c r="T69" s="7">
        <f t="shared" si="22"/>
        <v>415.93429144632989</v>
      </c>
      <c r="U69" s="7">
        <f t="shared" si="22"/>
        <v>1351.7864472005724</v>
      </c>
      <c r="V69" s="7">
        <f t="shared" si="22"/>
        <v>779.87679646186859</v>
      </c>
      <c r="W69" s="7">
        <f t="shared" si="22"/>
        <v>1057.1663240927553</v>
      </c>
      <c r="X69" s="7">
        <f t="shared" si="22"/>
        <v>727.8850100310774</v>
      </c>
      <c r="Y69" s="7">
        <f t="shared" si="22"/>
        <v>1039.8357286158248</v>
      </c>
      <c r="Z69" s="7">
        <f t="shared" si="22"/>
        <v>415.93429144632989</v>
      </c>
      <c r="AA69" s="7">
        <f t="shared" si="22"/>
        <v>727.8850100310774</v>
      </c>
      <c r="AB69" s="7">
        <f t="shared" si="22"/>
        <v>1663.7371657853196</v>
      </c>
      <c r="AC69" s="7">
        <f t="shared" si="22"/>
        <v>1282.4640652928506</v>
      </c>
      <c r="AD69" s="36">
        <f t="shared" si="27"/>
        <v>1.0286377679783985</v>
      </c>
      <c r="AE69" s="36">
        <f t="shared" si="23"/>
        <v>3.3430727459297955</v>
      </c>
      <c r="AF69" s="36">
        <f t="shared" si="23"/>
        <v>1.9286958149594973</v>
      </c>
      <c r="AG69" s="36">
        <f t="shared" si="23"/>
        <v>2.6144543269450962</v>
      </c>
      <c r="AH69" s="36">
        <f t="shared" si="23"/>
        <v>1.8001160939621974</v>
      </c>
      <c r="AI69" s="36">
        <f t="shared" si="23"/>
        <v>2.5715944199459964</v>
      </c>
      <c r="AJ69" s="36">
        <f t="shared" si="23"/>
        <v>1.0286377679783985</v>
      </c>
      <c r="AK69" s="36">
        <f t="shared" si="23"/>
        <v>1.8001160939621974</v>
      </c>
      <c r="AL69" s="36">
        <f t="shared" si="23"/>
        <v>4.1145510719135938</v>
      </c>
      <c r="AM69" s="36">
        <f t="shared" si="23"/>
        <v>3.1716331179333954</v>
      </c>
    </row>
    <row r="70" spans="1:40" ht="14.6" x14ac:dyDescent="0.4">
      <c r="A70" s="41">
        <v>7500</v>
      </c>
      <c r="B70" s="34">
        <v>277673.64478500374</v>
      </c>
      <c r="C70" s="7">
        <v>0.71530851063829781</v>
      </c>
      <c r="D70">
        <v>0.90538723404255317</v>
      </c>
      <c r="E70">
        <v>0.95</v>
      </c>
      <c r="F70" s="30">
        <f t="shared" si="24"/>
        <v>240097378.74439248</v>
      </c>
      <c r="G70" s="27">
        <f t="shared" si="21"/>
        <v>1514.0219197108495</v>
      </c>
      <c r="H70" s="30">
        <f t="shared" si="25"/>
        <v>236028095.5961614</v>
      </c>
      <c r="I70">
        <f t="shared" si="26"/>
        <v>3.7374967054232431</v>
      </c>
      <c r="J70">
        <v>0.16</v>
      </c>
      <c r="K70" s="7">
        <v>0.66</v>
      </c>
      <c r="L70">
        <v>0.34</v>
      </c>
      <c r="M70" s="7">
        <v>0.52</v>
      </c>
      <c r="N70" s="7">
        <v>0.35</v>
      </c>
      <c r="O70">
        <v>0.46</v>
      </c>
      <c r="P70" s="7">
        <v>0.17</v>
      </c>
      <c r="Q70" s="7">
        <v>0.36</v>
      </c>
      <c r="R70">
        <v>0.96</v>
      </c>
      <c r="S70">
        <v>0.7</v>
      </c>
      <c r="T70" s="7">
        <f t="shared" si="22"/>
        <v>242.24350715373592</v>
      </c>
      <c r="U70" s="7">
        <f t="shared" si="22"/>
        <v>999.25446700916075</v>
      </c>
      <c r="V70" s="7">
        <f t="shared" si="22"/>
        <v>514.76745270168885</v>
      </c>
      <c r="W70" s="7">
        <f t="shared" si="22"/>
        <v>787.29139824964182</v>
      </c>
      <c r="X70" s="7">
        <f t="shared" si="22"/>
        <v>529.90767189879728</v>
      </c>
      <c r="Y70" s="7">
        <f t="shared" si="22"/>
        <v>696.45008306699083</v>
      </c>
      <c r="Z70" s="7">
        <f t="shared" si="22"/>
        <v>257.38372635084443</v>
      </c>
      <c r="AA70" s="7">
        <f t="shared" si="22"/>
        <v>545.04789109590581</v>
      </c>
      <c r="AB70" s="7">
        <f t="shared" si="22"/>
        <v>1453.4610429224153</v>
      </c>
      <c r="AC70" s="7">
        <f t="shared" si="22"/>
        <v>1059.8153437975946</v>
      </c>
      <c r="AD70" s="36">
        <f t="shared" si="27"/>
        <v>0.59799947286771893</v>
      </c>
      <c r="AE70" s="36">
        <f t="shared" si="23"/>
        <v>2.4667478255793407</v>
      </c>
      <c r="AF70" s="36">
        <f t="shared" si="23"/>
        <v>1.2707488798439028</v>
      </c>
      <c r="AG70" s="36">
        <f t="shared" si="23"/>
        <v>1.9434982868200865</v>
      </c>
      <c r="AH70" s="36">
        <f t="shared" si="23"/>
        <v>1.3081238468981351</v>
      </c>
      <c r="AI70" s="36">
        <f t="shared" si="23"/>
        <v>1.7192484844946918</v>
      </c>
      <c r="AJ70" s="36">
        <f t="shared" si="23"/>
        <v>0.63537443992195142</v>
      </c>
      <c r="AK70" s="36">
        <f t="shared" si="23"/>
        <v>1.3454988139523674</v>
      </c>
      <c r="AL70" s="36">
        <f t="shared" si="23"/>
        <v>3.5879968372063131</v>
      </c>
      <c r="AM70" s="36">
        <f t="shared" si="23"/>
        <v>2.6162476937962702</v>
      </c>
    </row>
    <row r="71" spans="1:40" ht="14.6" x14ac:dyDescent="0.4">
      <c r="A71" s="1">
        <v>8000</v>
      </c>
      <c r="B71" s="34">
        <v>240427.38511375125</v>
      </c>
      <c r="C71" s="7">
        <v>0.72489523809523815</v>
      </c>
      <c r="D71">
        <v>0.88812619047619057</v>
      </c>
      <c r="E71">
        <v>0.93799999999999994</v>
      </c>
      <c r="F71" s="30">
        <f t="shared" si="24"/>
        <v>201104399.95514244</v>
      </c>
      <c r="G71" s="27">
        <f t="shared" si="21"/>
        <v>1268.13741688754</v>
      </c>
      <c r="H71" s="30">
        <f t="shared" si="25"/>
        <v>197984958.59453335</v>
      </c>
      <c r="I71">
        <f t="shared" si="26"/>
        <v>3.1350849508038818</v>
      </c>
      <c r="J71">
        <v>0.11</v>
      </c>
      <c r="K71" s="7">
        <v>0.52</v>
      </c>
      <c r="L71">
        <v>0.26</v>
      </c>
      <c r="M71" s="7">
        <v>0.52</v>
      </c>
      <c r="N71" s="7">
        <v>0.27</v>
      </c>
      <c r="O71">
        <v>0.38</v>
      </c>
      <c r="P71" s="7">
        <v>0.13</v>
      </c>
      <c r="Q71" s="7">
        <v>0.33</v>
      </c>
      <c r="R71">
        <v>0.91</v>
      </c>
      <c r="S71">
        <v>0.62</v>
      </c>
      <c r="T71" s="7">
        <f t="shared" si="22"/>
        <v>139.4951158576294</v>
      </c>
      <c r="U71" s="7">
        <f t="shared" si="22"/>
        <v>659.43145678152086</v>
      </c>
      <c r="V71" s="7">
        <f t="shared" si="22"/>
        <v>329.71572839076043</v>
      </c>
      <c r="W71" s="7">
        <f t="shared" si="22"/>
        <v>659.43145678152086</v>
      </c>
      <c r="X71" s="7">
        <f t="shared" si="22"/>
        <v>342.39710255963581</v>
      </c>
      <c r="Y71" s="7">
        <f t="shared" si="22"/>
        <v>481.89221841726521</v>
      </c>
      <c r="Z71" s="7">
        <f t="shared" si="22"/>
        <v>164.85786419538022</v>
      </c>
      <c r="AA71" s="7">
        <f t="shared" si="22"/>
        <v>418.4853475728882</v>
      </c>
      <c r="AB71" s="7">
        <f t="shared" si="22"/>
        <v>1154.0050493676615</v>
      </c>
      <c r="AC71" s="7">
        <f t="shared" si="22"/>
        <v>786.24519847027477</v>
      </c>
      <c r="AD71" s="36">
        <f t="shared" si="27"/>
        <v>0.34485934458842699</v>
      </c>
      <c r="AE71" s="36">
        <f t="shared" si="23"/>
        <v>1.6302441744180185</v>
      </c>
      <c r="AF71" s="36">
        <f t="shared" si="23"/>
        <v>0.81512208720900925</v>
      </c>
      <c r="AG71" s="36">
        <f t="shared" si="23"/>
        <v>1.6302441744180185</v>
      </c>
      <c r="AH71" s="36">
        <f t="shared" si="23"/>
        <v>0.84647293671704815</v>
      </c>
      <c r="AI71" s="36">
        <f t="shared" si="23"/>
        <v>1.1913322813054752</v>
      </c>
      <c r="AJ71" s="36">
        <f t="shared" si="23"/>
        <v>0.40756104360450462</v>
      </c>
      <c r="AK71" s="36">
        <f t="shared" si="23"/>
        <v>1.034578033765281</v>
      </c>
      <c r="AL71" s="36">
        <f t="shared" si="23"/>
        <v>2.8529273052315327</v>
      </c>
      <c r="AM71" s="36">
        <f t="shared" si="23"/>
        <v>1.9437526694984066</v>
      </c>
    </row>
    <row r="72" spans="1:40" ht="14.6" x14ac:dyDescent="0.4">
      <c r="A72" s="1">
        <v>8500</v>
      </c>
      <c r="B72" s="34">
        <v>208548.52200492768</v>
      </c>
      <c r="C72" s="7">
        <v>0.76059459459459455</v>
      </c>
      <c r="D72">
        <v>0.92840270270270264</v>
      </c>
      <c r="E72">
        <v>0.92800000000000005</v>
      </c>
      <c r="F72" s="30">
        <f t="shared" si="24"/>
        <v>180918732.89363849</v>
      </c>
      <c r="G72" s="27">
        <f t="shared" si="21"/>
        <v>1140.8493033940642</v>
      </c>
      <c r="H72" s="30">
        <f t="shared" si="25"/>
        <v>177427447.08183745</v>
      </c>
      <c r="I72">
        <f t="shared" si="26"/>
        <v>2.8095574691863465</v>
      </c>
      <c r="J72">
        <v>0.06</v>
      </c>
      <c r="K72" s="7">
        <v>0.44</v>
      </c>
      <c r="L72">
        <v>0.16</v>
      </c>
      <c r="M72" s="7">
        <v>0.45</v>
      </c>
      <c r="N72" s="7">
        <v>0.21</v>
      </c>
      <c r="O72">
        <v>0.25</v>
      </c>
      <c r="P72" s="7">
        <v>7.0000000000000007E-2</v>
      </c>
      <c r="Q72" s="7">
        <v>0.25</v>
      </c>
      <c r="R72">
        <v>0.75</v>
      </c>
      <c r="S72">
        <v>0.52</v>
      </c>
      <c r="T72" s="7">
        <f t="shared" si="22"/>
        <v>68.45095820364385</v>
      </c>
      <c r="U72" s="7">
        <f t="shared" si="22"/>
        <v>501.97369349338828</v>
      </c>
      <c r="V72" s="7">
        <f t="shared" si="22"/>
        <v>182.53588854305028</v>
      </c>
      <c r="W72" s="7">
        <f t="shared" si="22"/>
        <v>513.38218652732894</v>
      </c>
      <c r="X72" s="7">
        <f t="shared" si="22"/>
        <v>239.57835371275348</v>
      </c>
      <c r="Y72" s="7">
        <f t="shared" si="22"/>
        <v>285.21232584851606</v>
      </c>
      <c r="Z72" s="7">
        <f t="shared" si="22"/>
        <v>79.859451237584508</v>
      </c>
      <c r="AA72" s="7">
        <f t="shared" si="22"/>
        <v>285.21232584851606</v>
      </c>
      <c r="AB72" s="7">
        <f t="shared" si="22"/>
        <v>855.63697754554823</v>
      </c>
      <c r="AC72" s="7">
        <f t="shared" si="22"/>
        <v>593.24163776491343</v>
      </c>
      <c r="AD72" s="36">
        <f t="shared" si="27"/>
        <v>0.16857344815118078</v>
      </c>
      <c r="AE72" s="36">
        <f t="shared" si="23"/>
        <v>1.2362052864419926</v>
      </c>
      <c r="AF72" s="36">
        <f t="shared" si="23"/>
        <v>0.44952919506981548</v>
      </c>
      <c r="AG72" s="36">
        <f t="shared" si="23"/>
        <v>1.264300861133856</v>
      </c>
      <c r="AH72" s="36">
        <f t="shared" si="23"/>
        <v>0.59000706852913276</v>
      </c>
      <c r="AI72" s="36">
        <f t="shared" si="23"/>
        <v>0.70238936729658663</v>
      </c>
      <c r="AJ72" s="36">
        <f t="shared" si="23"/>
        <v>0.19666902284304427</v>
      </c>
      <c r="AK72" s="36">
        <f t="shared" si="23"/>
        <v>0.70238936729658663</v>
      </c>
      <c r="AL72" s="36">
        <f t="shared" si="23"/>
        <v>2.1071681018897599</v>
      </c>
      <c r="AM72" s="36">
        <f t="shared" si="23"/>
        <v>1.4609698839769003</v>
      </c>
    </row>
    <row r="73" spans="1:40" ht="14.6" x14ac:dyDescent="0.4">
      <c r="A73" s="1">
        <v>9000</v>
      </c>
      <c r="B73" s="34">
        <v>191373.80667548173</v>
      </c>
      <c r="C73" s="7">
        <v>0.79829090909090905</v>
      </c>
      <c r="D73">
        <v>0.94412424242424242</v>
      </c>
      <c r="E73">
        <v>0.93500000000000005</v>
      </c>
      <c r="F73" s="30">
        <f t="shared" si="24"/>
        <v>170287091.72778985</v>
      </c>
      <c r="G73" s="27">
        <f t="shared" si="21"/>
        <v>1073.8075978503673</v>
      </c>
      <c r="H73" s="30">
        <f t="shared" si="25"/>
        <v>167042943.45915094</v>
      </c>
      <c r="I73">
        <f t="shared" si="26"/>
        <v>2.6451192145827376</v>
      </c>
      <c r="J73">
        <v>0.04</v>
      </c>
      <c r="K73" s="7">
        <v>0.28999999999999998</v>
      </c>
      <c r="L73">
        <v>0.12</v>
      </c>
      <c r="M73" s="7">
        <v>0.34</v>
      </c>
      <c r="N73" s="7">
        <v>0.14000000000000001</v>
      </c>
      <c r="O73">
        <v>0.17</v>
      </c>
      <c r="P73" s="7">
        <v>0.05</v>
      </c>
      <c r="Q73" s="7">
        <v>0.16</v>
      </c>
      <c r="R73">
        <v>0.61</v>
      </c>
      <c r="S73">
        <v>0.38</v>
      </c>
      <c r="T73" s="7">
        <f t="shared" si="22"/>
        <v>42.952303914014692</v>
      </c>
      <c r="U73" s="7">
        <f t="shared" si="22"/>
        <v>311.40420337660652</v>
      </c>
      <c r="V73" s="7">
        <f t="shared" si="22"/>
        <v>128.85691174204408</v>
      </c>
      <c r="W73" s="7">
        <f t="shared" si="22"/>
        <v>365.09458326912488</v>
      </c>
      <c r="X73" s="7">
        <f t="shared" si="22"/>
        <v>150.33306369905145</v>
      </c>
      <c r="Y73" s="7">
        <f t="shared" si="22"/>
        <v>182.54729163456244</v>
      </c>
      <c r="Z73" s="7">
        <f t="shared" si="22"/>
        <v>53.690379892518365</v>
      </c>
      <c r="AA73" s="7">
        <f t="shared" si="22"/>
        <v>171.80921565605877</v>
      </c>
      <c r="AB73" s="7">
        <f t="shared" si="22"/>
        <v>655.022634688724</v>
      </c>
      <c r="AC73" s="7">
        <f t="shared" si="22"/>
        <v>408.04688718313957</v>
      </c>
      <c r="AD73" s="36">
        <f t="shared" si="27"/>
        <v>0.10580476858330951</v>
      </c>
      <c r="AE73" s="36">
        <f t="shared" si="23"/>
        <v>0.76708457222899384</v>
      </c>
      <c r="AF73" s="36">
        <f t="shared" si="23"/>
        <v>0.31741430574992852</v>
      </c>
      <c r="AG73" s="36">
        <f t="shared" si="23"/>
        <v>0.89934053295813088</v>
      </c>
      <c r="AH73" s="36">
        <f t="shared" si="23"/>
        <v>0.3703166900415833</v>
      </c>
      <c r="AI73" s="36">
        <f t="shared" si="23"/>
        <v>0.44967026647906544</v>
      </c>
      <c r="AJ73" s="36">
        <f t="shared" si="23"/>
        <v>0.1322559607291369</v>
      </c>
      <c r="AK73" s="36">
        <f t="shared" si="23"/>
        <v>0.42321907433323802</v>
      </c>
      <c r="AL73" s="36">
        <f t="shared" si="23"/>
        <v>1.6135227208954699</v>
      </c>
      <c r="AM73" s="36">
        <f t="shared" si="23"/>
        <v>1.0051453015414402</v>
      </c>
    </row>
    <row r="74" spans="1:40" ht="14.6" x14ac:dyDescent="0.4">
      <c r="A74" s="1">
        <v>9500</v>
      </c>
      <c r="B74" s="34">
        <v>184224.21943981026</v>
      </c>
      <c r="C74" s="7">
        <v>0.5832551724137931</v>
      </c>
      <c r="D74">
        <v>0.83741379310344821</v>
      </c>
      <c r="E74">
        <v>0.92200000000000004</v>
      </c>
      <c r="F74" s="30">
        <f t="shared" si="24"/>
        <v>142280296.34761691</v>
      </c>
      <c r="G74" s="27">
        <f t="shared" si="21"/>
        <v>897.20049648096619</v>
      </c>
      <c r="H74" s="30">
        <f t="shared" si="25"/>
        <v>139587953.86617336</v>
      </c>
      <c r="I74">
        <f t="shared" si="26"/>
        <v>2.2103704068528667</v>
      </c>
      <c r="J74">
        <v>0.02</v>
      </c>
      <c r="K74" s="7">
        <v>0.13</v>
      </c>
      <c r="L74">
        <v>0.08</v>
      </c>
      <c r="M74" s="7">
        <v>0.2</v>
      </c>
      <c r="N74" s="7">
        <v>0.09</v>
      </c>
      <c r="O74">
        <v>0.08</v>
      </c>
      <c r="P74" s="7">
        <v>0.03</v>
      </c>
      <c r="Q74" s="7">
        <v>0.1</v>
      </c>
      <c r="R74">
        <v>0.42</v>
      </c>
      <c r="S74">
        <v>0.26</v>
      </c>
      <c r="T74" s="7">
        <f t="shared" si="22"/>
        <v>17.944009929619323</v>
      </c>
      <c r="U74" s="7">
        <f t="shared" si="22"/>
        <v>116.6360645425256</v>
      </c>
      <c r="V74" s="7">
        <f t="shared" si="22"/>
        <v>71.776039718477293</v>
      </c>
      <c r="W74" s="7">
        <f t="shared" si="22"/>
        <v>179.44009929619324</v>
      </c>
      <c r="X74" s="7">
        <f t="shared" si="22"/>
        <v>80.748044683286949</v>
      </c>
      <c r="Y74" s="7">
        <f t="shared" si="22"/>
        <v>71.776039718477293</v>
      </c>
      <c r="Z74" s="7">
        <f t="shared" si="22"/>
        <v>26.916014894428987</v>
      </c>
      <c r="AA74" s="7">
        <f t="shared" si="22"/>
        <v>89.720049648096619</v>
      </c>
      <c r="AB74" s="7">
        <f t="shared" si="22"/>
        <v>376.82420852200579</v>
      </c>
      <c r="AC74" s="7">
        <f t="shared" si="22"/>
        <v>233.2721290850512</v>
      </c>
      <c r="AD74" s="36">
        <f t="shared" si="27"/>
        <v>4.4207408137057334E-2</v>
      </c>
      <c r="AE74" s="36">
        <f t="shared" si="23"/>
        <v>0.28734815289087268</v>
      </c>
      <c r="AF74" s="36">
        <f t="shared" si="23"/>
        <v>0.17682963254822934</v>
      </c>
      <c r="AG74" s="36">
        <f t="shared" si="23"/>
        <v>0.44207408137057336</v>
      </c>
      <c r="AH74" s="36">
        <f t="shared" si="23"/>
        <v>0.19893333661675799</v>
      </c>
      <c r="AI74" s="36">
        <f t="shared" si="23"/>
        <v>0.17682963254822934</v>
      </c>
      <c r="AJ74" s="36">
        <f t="shared" si="23"/>
        <v>6.6311112205585998E-2</v>
      </c>
      <c r="AK74" s="36">
        <f t="shared" si="23"/>
        <v>0.22103704068528668</v>
      </c>
      <c r="AL74" s="36">
        <f t="shared" si="23"/>
        <v>0.92835557087820397</v>
      </c>
      <c r="AM74" s="36">
        <f t="shared" si="23"/>
        <v>0.57469630578174535</v>
      </c>
    </row>
    <row r="75" spans="1:40" ht="14.6" x14ac:dyDescent="0.4">
      <c r="A75" s="1">
        <v>10000</v>
      </c>
      <c r="B75" s="34">
        <v>166830.55669379354</v>
      </c>
      <c r="C75" s="7">
        <v>0.70755769230769239</v>
      </c>
      <c r="D75">
        <v>0.89926153846153845</v>
      </c>
      <c r="E75">
        <v>0.91800000000000004</v>
      </c>
      <c r="F75" s="30">
        <f t="shared" si="24"/>
        <v>138391850.65749383</v>
      </c>
      <c r="G75" s="27">
        <f t="shared" si="21"/>
        <v>872.6804786480393</v>
      </c>
      <c r="H75" s="30">
        <f t="shared" si="25"/>
        <v>135746625.49606156</v>
      </c>
      <c r="I75">
        <f t="shared" si="26"/>
        <v>2.1495431053764098</v>
      </c>
      <c r="J75">
        <v>0.01</v>
      </c>
      <c r="K75" s="7">
        <v>0.09</v>
      </c>
      <c r="L75">
        <v>0.05</v>
      </c>
      <c r="M75" s="7">
        <v>0.08</v>
      </c>
      <c r="N75" s="7">
        <v>0.04</v>
      </c>
      <c r="O75" s="7">
        <v>0.04</v>
      </c>
      <c r="P75" s="7">
        <v>0.01</v>
      </c>
      <c r="Q75" s="7">
        <v>0.05</v>
      </c>
      <c r="R75">
        <v>0.26</v>
      </c>
      <c r="S75">
        <v>0.15</v>
      </c>
      <c r="T75" s="7">
        <f t="shared" si="22"/>
        <v>8.7268047864803933</v>
      </c>
      <c r="U75" s="7">
        <f t="shared" si="22"/>
        <v>78.541243078323532</v>
      </c>
      <c r="V75" s="7">
        <f t="shared" si="22"/>
        <v>43.634023932401966</v>
      </c>
      <c r="W75" s="7">
        <f t="shared" si="22"/>
        <v>69.814438291843146</v>
      </c>
      <c r="X75" s="7">
        <f t="shared" si="22"/>
        <v>34.907219145921573</v>
      </c>
      <c r="Y75" s="7">
        <f t="shared" si="22"/>
        <v>34.907219145921573</v>
      </c>
      <c r="Z75" s="7">
        <f t="shared" si="22"/>
        <v>8.7268047864803933</v>
      </c>
      <c r="AA75" s="7">
        <f t="shared" si="22"/>
        <v>43.634023932401966</v>
      </c>
      <c r="AB75" s="7">
        <f t="shared" si="22"/>
        <v>226.89692444849024</v>
      </c>
      <c r="AC75" s="7">
        <f t="shared" si="22"/>
        <v>130.90207179720588</v>
      </c>
      <c r="AD75" s="36">
        <f t="shared" si="27"/>
        <v>2.14954310537641E-2</v>
      </c>
      <c r="AE75" s="36">
        <f t="shared" si="23"/>
        <v>0.19345887948387688</v>
      </c>
      <c r="AF75" s="36">
        <f t="shared" si="23"/>
        <v>0.1074771552688205</v>
      </c>
      <c r="AG75" s="36">
        <f t="shared" si="23"/>
        <v>0.1719634484301128</v>
      </c>
      <c r="AH75" s="36">
        <f t="shared" si="23"/>
        <v>8.5981724215056399E-2</v>
      </c>
      <c r="AI75" s="36">
        <f t="shared" si="23"/>
        <v>8.5981724215056399E-2</v>
      </c>
      <c r="AJ75" s="36">
        <f t="shared" si="23"/>
        <v>2.14954310537641E-2</v>
      </c>
      <c r="AK75" s="36">
        <f t="shared" si="23"/>
        <v>0.1074771552688205</v>
      </c>
      <c r="AL75" s="36">
        <f t="shared" si="23"/>
        <v>0.55888120739786662</v>
      </c>
      <c r="AM75" s="36">
        <f t="shared" si="23"/>
        <v>0.32243146580646148</v>
      </c>
    </row>
    <row r="76" spans="1:40" ht="14.6" x14ac:dyDescent="0.4">
      <c r="A76" s="1">
        <v>10500</v>
      </c>
      <c r="B76" s="34">
        <v>147821.27860879217</v>
      </c>
      <c r="C76" s="7">
        <v>0.85365416666666671</v>
      </c>
      <c r="D76">
        <v>0.96433333333333326</v>
      </c>
      <c r="E76">
        <v>0.91300000000000003</v>
      </c>
      <c r="F76" s="30">
        <f t="shared" si="24"/>
        <v>131365602.96013497</v>
      </c>
      <c r="G76" s="27">
        <f t="shared" si="21"/>
        <v>828.37390153024285</v>
      </c>
      <c r="H76" s="30">
        <f t="shared" si="25"/>
        <v>128911683.90094094</v>
      </c>
      <c r="I76">
        <f t="shared" si="26"/>
        <v>2.0413120423370694</v>
      </c>
      <c r="K76" s="7">
        <v>0.05</v>
      </c>
      <c r="L76">
        <v>0.02</v>
      </c>
      <c r="M76" s="7">
        <v>0.04</v>
      </c>
      <c r="N76" s="7">
        <v>0.01</v>
      </c>
      <c r="O76" s="7">
        <v>0.01</v>
      </c>
      <c r="P76" s="7"/>
      <c r="Q76" s="7">
        <v>0.02</v>
      </c>
      <c r="R76" s="7">
        <v>0.1</v>
      </c>
      <c r="S76" s="7">
        <v>0.05</v>
      </c>
      <c r="T76" s="7">
        <f t="shared" si="22"/>
        <v>0</v>
      </c>
      <c r="U76" s="7">
        <f t="shared" si="22"/>
        <v>41.418695076512144</v>
      </c>
      <c r="V76" s="7">
        <f t="shared" si="22"/>
        <v>16.567478030604857</v>
      </c>
      <c r="W76" s="7">
        <f t="shared" si="22"/>
        <v>33.134956061209714</v>
      </c>
      <c r="X76" s="7">
        <f t="shared" si="22"/>
        <v>8.2837390153024284</v>
      </c>
      <c r="Y76" s="7">
        <f t="shared" si="22"/>
        <v>8.2837390153024284</v>
      </c>
      <c r="Z76" s="7">
        <f t="shared" si="22"/>
        <v>0</v>
      </c>
      <c r="AA76" s="7">
        <f t="shared" si="22"/>
        <v>16.567478030604857</v>
      </c>
      <c r="AB76" s="7">
        <f t="shared" si="22"/>
        <v>82.837390153024288</v>
      </c>
      <c r="AC76" s="7">
        <f t="shared" si="22"/>
        <v>41.418695076512144</v>
      </c>
      <c r="AD76" s="36">
        <f t="shared" si="27"/>
        <v>0</v>
      </c>
      <c r="AE76" s="36">
        <f t="shared" si="23"/>
        <v>0.10206560211685348</v>
      </c>
      <c r="AF76" s="36">
        <f t="shared" si="23"/>
        <v>4.0826240846741392E-2</v>
      </c>
      <c r="AG76" s="36">
        <f t="shared" si="23"/>
        <v>8.1652481693482784E-2</v>
      </c>
      <c r="AH76" s="36">
        <f t="shared" si="23"/>
        <v>2.0413120423370696E-2</v>
      </c>
      <c r="AI76" s="36">
        <f t="shared" si="23"/>
        <v>2.0413120423370696E-2</v>
      </c>
      <c r="AJ76" s="36">
        <f t="shared" si="23"/>
        <v>0</v>
      </c>
      <c r="AK76" s="36">
        <f t="shared" si="23"/>
        <v>4.0826240846741392E-2</v>
      </c>
      <c r="AL76" s="36">
        <f t="shared" si="23"/>
        <v>0.20413120423370695</v>
      </c>
      <c r="AM76" s="36">
        <f t="shared" si="23"/>
        <v>0.10206560211685348</v>
      </c>
    </row>
    <row r="77" spans="1:40" ht="14.6" x14ac:dyDescent="0.4">
      <c r="A77" s="1">
        <v>11000</v>
      </c>
      <c r="B77" s="34">
        <v>131392.62362486718</v>
      </c>
      <c r="C77" s="7">
        <v>0.833431818181818</v>
      </c>
      <c r="D77">
        <v>0.95410909090909091</v>
      </c>
      <c r="E77">
        <v>0.92200000000000004</v>
      </c>
      <c r="F77" s="30">
        <f t="shared" si="24"/>
        <v>116587133.67255488</v>
      </c>
      <c r="G77" s="27">
        <f t="shared" si="21"/>
        <v>735.18285313903914</v>
      </c>
      <c r="H77" s="30">
        <f t="shared" si="25"/>
        <v>114861182.37603188</v>
      </c>
      <c r="I77">
        <f t="shared" si="26"/>
        <v>1.8188228381334242</v>
      </c>
      <c r="K77" s="7">
        <v>0.01</v>
      </c>
      <c r="L77">
        <v>0</v>
      </c>
      <c r="M77" s="7">
        <v>0.01</v>
      </c>
      <c r="N77" s="7"/>
      <c r="O77" s="7"/>
      <c r="P77" s="7"/>
      <c r="Q77" s="7">
        <v>0.01</v>
      </c>
      <c r="R77" s="7">
        <v>0.02</v>
      </c>
      <c r="S77" s="7">
        <v>0.01</v>
      </c>
      <c r="T77" s="7">
        <f t="shared" si="22"/>
        <v>0</v>
      </c>
      <c r="U77" s="7">
        <f t="shared" si="22"/>
        <v>7.3518285313903915</v>
      </c>
      <c r="V77" s="7">
        <f t="shared" si="22"/>
        <v>0</v>
      </c>
      <c r="W77" s="7">
        <f t="shared" si="22"/>
        <v>7.3518285313903915</v>
      </c>
      <c r="X77" s="7">
        <f t="shared" si="22"/>
        <v>0</v>
      </c>
      <c r="Y77" s="7">
        <f t="shared" si="22"/>
        <v>0</v>
      </c>
      <c r="Z77" s="7">
        <f t="shared" si="22"/>
        <v>0</v>
      </c>
      <c r="AA77" s="7">
        <f t="shared" si="22"/>
        <v>7.3518285313903915</v>
      </c>
      <c r="AB77" s="7">
        <f t="shared" si="22"/>
        <v>14.703657062780783</v>
      </c>
      <c r="AC77" s="7">
        <f t="shared" si="22"/>
        <v>7.3518285313903915</v>
      </c>
      <c r="AD77" s="36">
        <f t="shared" si="27"/>
        <v>0</v>
      </c>
      <c r="AE77" s="36">
        <f t="shared" si="27"/>
        <v>1.8188228381334243E-2</v>
      </c>
      <c r="AF77" s="36">
        <f t="shared" si="27"/>
        <v>0</v>
      </c>
      <c r="AG77" s="36">
        <f t="shared" si="27"/>
        <v>1.8188228381334243E-2</v>
      </c>
      <c r="AH77" s="36">
        <f t="shared" si="27"/>
        <v>0</v>
      </c>
      <c r="AI77" s="36">
        <f t="shared" si="27"/>
        <v>0</v>
      </c>
      <c r="AJ77" s="36">
        <f t="shared" si="27"/>
        <v>0</v>
      </c>
      <c r="AK77" s="36">
        <f t="shared" si="27"/>
        <v>1.8188228381334243E-2</v>
      </c>
      <c r="AL77" s="36">
        <f t="shared" si="27"/>
        <v>3.6376456762668485E-2</v>
      </c>
      <c r="AM77" s="36">
        <f t="shared" si="27"/>
        <v>1.8188228381334243E-2</v>
      </c>
    </row>
    <row r="78" spans="1:40" ht="14.6" x14ac:dyDescent="0.4">
      <c r="A78" s="1">
        <v>11500</v>
      </c>
      <c r="B78" s="34">
        <v>120432.14774296033</v>
      </c>
      <c r="C78" s="7">
        <v>0.41852</v>
      </c>
      <c r="D78">
        <v>0.73388500000000012</v>
      </c>
      <c r="E78">
        <v>0.9</v>
      </c>
      <c r="F78" s="30">
        <f t="shared" si="24"/>
        <v>78899533.858269662</v>
      </c>
      <c r="G78" s="27">
        <f t="shared" si="21"/>
        <v>497.52989533284733</v>
      </c>
      <c r="H78" s="30">
        <f t="shared" si="25"/>
        <v>77461753.11371024</v>
      </c>
      <c r="I78">
        <f t="shared" si="26"/>
        <v>1.2266041732343202</v>
      </c>
      <c r="K78" s="7"/>
      <c r="L78">
        <v>0</v>
      </c>
      <c r="M78" s="7"/>
      <c r="N78" s="7"/>
      <c r="O78" s="7"/>
      <c r="P78" s="7"/>
      <c r="Q78" s="7"/>
      <c r="T78" s="7"/>
      <c r="U78" s="7"/>
      <c r="V78" s="7">
        <f t="shared" ref="V78:V87" si="28">L78*$G78</f>
        <v>0</v>
      </c>
      <c r="W78" s="7"/>
      <c r="X78" s="7"/>
      <c r="Y78" s="7"/>
      <c r="Z78" s="7"/>
      <c r="AA78" s="7"/>
      <c r="AB78" s="7"/>
      <c r="AC78" s="7"/>
      <c r="AD78" s="36"/>
      <c r="AE78" s="36"/>
      <c r="AF78" s="36">
        <f t="shared" ref="AF78:AF87" si="29">L78*$I78</f>
        <v>0</v>
      </c>
      <c r="AG78" s="36"/>
      <c r="AH78" s="36"/>
      <c r="AI78" s="36"/>
      <c r="AJ78" s="36"/>
      <c r="AK78" s="36"/>
      <c r="AL78" s="36"/>
      <c r="AM78" s="36"/>
      <c r="AN78" s="36"/>
    </row>
    <row r="79" spans="1:40" ht="14.6" x14ac:dyDescent="0.4">
      <c r="A79" s="1">
        <v>12000</v>
      </c>
      <c r="B79" s="34">
        <v>108043.5281250628</v>
      </c>
      <c r="C79" s="7">
        <v>0.71694444444444438</v>
      </c>
      <c r="D79">
        <v>0.89990000000000003</v>
      </c>
      <c r="E79">
        <v>0.9</v>
      </c>
      <c r="F79" s="30">
        <f t="shared" si="24"/>
        <v>87934935.685545504</v>
      </c>
      <c r="G79" s="27">
        <f t="shared" si="21"/>
        <v>554.50592935467057</v>
      </c>
      <c r="H79" s="30">
        <f t="shared" si="25"/>
        <v>86307186.794139713</v>
      </c>
      <c r="I79">
        <f t="shared" si="26"/>
        <v>1.366671308696064</v>
      </c>
      <c r="J79" s="7"/>
      <c r="K79" s="7"/>
      <c r="L79">
        <v>0</v>
      </c>
      <c r="M79" s="7"/>
      <c r="N79" s="7"/>
      <c r="P79" s="7"/>
      <c r="Q79" s="7"/>
      <c r="R79" s="7"/>
      <c r="S79" s="7"/>
      <c r="T79" s="7"/>
      <c r="U79" s="7"/>
      <c r="V79" s="7">
        <f t="shared" si="28"/>
        <v>0</v>
      </c>
      <c r="W79" s="7"/>
      <c r="X79" s="7"/>
      <c r="Y79" s="7"/>
      <c r="Z79" s="7"/>
      <c r="AA79" s="7"/>
      <c r="AB79" s="7"/>
      <c r="AC79" s="7"/>
      <c r="AD79" s="36"/>
      <c r="AE79" s="36"/>
      <c r="AF79" s="36">
        <f t="shared" si="29"/>
        <v>0</v>
      </c>
      <c r="AG79" s="36"/>
      <c r="AH79" s="36"/>
      <c r="AI79" s="36"/>
      <c r="AJ79" s="36"/>
      <c r="AK79" s="36"/>
      <c r="AL79" s="36"/>
      <c r="AM79" s="36"/>
      <c r="AN79" s="36"/>
    </row>
    <row r="80" spans="1:40" ht="14.6" x14ac:dyDescent="0.4">
      <c r="A80" s="1">
        <v>12500</v>
      </c>
      <c r="B80" s="34">
        <v>97410.198448816882</v>
      </c>
      <c r="C80" s="7">
        <v>0.84656249999999988</v>
      </c>
      <c r="D80">
        <v>0.95711250000000003</v>
      </c>
      <c r="E80">
        <v>0.8</v>
      </c>
      <c r="F80" s="30">
        <f t="shared" si="24"/>
        <v>75248073.830252245</v>
      </c>
      <c r="G80" s="27">
        <f t="shared" si="21"/>
        <v>474.50427735118717</v>
      </c>
      <c r="H80" s="30">
        <f t="shared" si="25"/>
        <v>73858323.978132471</v>
      </c>
      <c r="I80">
        <f t="shared" si="26"/>
        <v>1.1695439978834539</v>
      </c>
      <c r="J80" s="7"/>
      <c r="K80" s="7"/>
      <c r="L80">
        <v>0</v>
      </c>
      <c r="M80" s="7"/>
      <c r="N80" s="7"/>
      <c r="P80" s="7"/>
      <c r="Q80" s="7"/>
      <c r="R80" s="7"/>
      <c r="S80" s="7"/>
      <c r="T80" s="7"/>
      <c r="U80" s="7"/>
      <c r="V80" s="7">
        <f t="shared" si="28"/>
        <v>0</v>
      </c>
      <c r="W80" s="7"/>
      <c r="X80" s="7"/>
      <c r="Y80" s="7"/>
      <c r="Z80" s="7"/>
      <c r="AA80" s="7"/>
      <c r="AB80" s="7"/>
      <c r="AC80" s="7"/>
      <c r="AD80" s="36"/>
      <c r="AE80" s="36"/>
      <c r="AF80" s="36">
        <f t="shared" si="29"/>
        <v>0</v>
      </c>
      <c r="AG80" s="36"/>
      <c r="AH80" s="36"/>
      <c r="AI80" s="36"/>
      <c r="AJ80" s="36"/>
      <c r="AK80" s="36"/>
      <c r="AL80" s="36"/>
      <c r="AM80" s="36"/>
      <c r="AN80" s="36"/>
    </row>
    <row r="81" spans="1:40" ht="14.6" x14ac:dyDescent="0.4">
      <c r="A81" s="1">
        <v>13000</v>
      </c>
      <c r="B81" s="34">
        <v>85617.884558881851</v>
      </c>
      <c r="C81" s="7">
        <v>0.85491874999999995</v>
      </c>
      <c r="D81">
        <v>0.95540625000000001</v>
      </c>
      <c r="E81">
        <v>0.7</v>
      </c>
      <c r="F81" s="30">
        <f t="shared" si="24"/>
        <v>57761575.999016851</v>
      </c>
      <c r="G81" s="27">
        <f t="shared" si="21"/>
        <v>364.23676358689977</v>
      </c>
      <c r="H81" s="30">
        <f t="shared" si="25"/>
        <v>56681269.308805943</v>
      </c>
      <c r="I81">
        <f t="shared" si="26"/>
        <v>0.89754593310507191</v>
      </c>
      <c r="J81" s="7"/>
      <c r="K81" s="7"/>
      <c r="L81">
        <v>0</v>
      </c>
      <c r="M81" s="7"/>
      <c r="N81" s="7"/>
      <c r="P81" s="7"/>
      <c r="Q81" s="7"/>
      <c r="R81" s="7"/>
      <c r="S81" s="7"/>
      <c r="T81" s="7"/>
      <c r="U81" s="7"/>
      <c r="V81" s="7">
        <f t="shared" si="28"/>
        <v>0</v>
      </c>
      <c r="W81" s="7"/>
      <c r="X81" s="7"/>
      <c r="Y81" s="7"/>
      <c r="Z81" s="7"/>
      <c r="AA81" s="7"/>
      <c r="AB81" s="7"/>
      <c r="AC81" s="7"/>
      <c r="AD81" s="36"/>
      <c r="AE81" s="36"/>
      <c r="AF81" s="36">
        <f t="shared" si="29"/>
        <v>0</v>
      </c>
      <c r="AG81" s="36"/>
      <c r="AH81" s="36"/>
      <c r="AI81" s="36"/>
      <c r="AJ81" s="36"/>
      <c r="AK81" s="36"/>
      <c r="AL81" s="36"/>
      <c r="AM81" s="36"/>
      <c r="AN81" s="36"/>
    </row>
    <row r="82" spans="1:40" ht="14.6" x14ac:dyDescent="0.4">
      <c r="A82" s="1">
        <v>14000</v>
      </c>
      <c r="B82" s="34">
        <v>76126.538363538028</v>
      </c>
      <c r="C82" s="7">
        <v>0.29160370370370375</v>
      </c>
      <c r="D82">
        <v>0.49602222222222231</v>
      </c>
      <c r="E82">
        <v>0.05</v>
      </c>
      <c r="F82" s="30">
        <f t="shared" si="24"/>
        <v>1826366.2429005764</v>
      </c>
      <c r="G82" s="27">
        <f t="shared" si="21"/>
        <v>11.516820965026897</v>
      </c>
      <c r="H82" s="30">
        <f t="shared" si="25"/>
        <v>1793534.5483784638</v>
      </c>
      <c r="I82">
        <f t="shared" si="26"/>
        <v>2.840055735185236E-2</v>
      </c>
      <c r="J82" s="7"/>
      <c r="K82" s="7"/>
      <c r="L82">
        <v>0</v>
      </c>
      <c r="M82" s="7"/>
      <c r="N82" s="7"/>
      <c r="P82" s="7"/>
      <c r="Q82" s="7"/>
      <c r="R82" s="7"/>
      <c r="S82" s="7"/>
      <c r="T82" s="7"/>
      <c r="U82" s="7"/>
      <c r="V82" s="7">
        <f t="shared" si="28"/>
        <v>0</v>
      </c>
      <c r="W82" s="7"/>
      <c r="X82" s="7"/>
      <c r="Y82" s="7"/>
      <c r="Z82" s="7"/>
      <c r="AA82" s="7"/>
      <c r="AB82" s="7"/>
      <c r="AC82" s="7"/>
      <c r="AD82" s="36"/>
      <c r="AE82" s="36"/>
      <c r="AF82" s="36">
        <f t="shared" si="29"/>
        <v>0</v>
      </c>
      <c r="AG82" s="36"/>
      <c r="AH82" s="36"/>
      <c r="AI82" s="36"/>
      <c r="AJ82" s="36"/>
      <c r="AK82" s="36"/>
      <c r="AL82" s="36"/>
      <c r="AM82" s="36"/>
      <c r="AN82" s="36"/>
    </row>
    <row r="83" spans="1:40" ht="14.6" x14ac:dyDescent="0.4">
      <c r="A83" s="1">
        <v>16000</v>
      </c>
      <c r="B83" s="34">
        <v>57907.77585150802</v>
      </c>
      <c r="C83" s="7">
        <v>0.53496444444444446</v>
      </c>
      <c r="D83">
        <v>0.75388888888888894</v>
      </c>
      <c r="E83">
        <v>0</v>
      </c>
      <c r="F83" s="30">
        <f t="shared" si="24"/>
        <v>0</v>
      </c>
      <c r="G83" s="27">
        <f t="shared" si="21"/>
        <v>0</v>
      </c>
      <c r="H83" s="30">
        <f t="shared" si="25"/>
        <v>0</v>
      </c>
      <c r="I83">
        <f t="shared" si="26"/>
        <v>0</v>
      </c>
      <c r="J83" s="7"/>
      <c r="K83" s="7"/>
      <c r="L83">
        <v>0</v>
      </c>
      <c r="M83" s="7"/>
      <c r="N83" s="7"/>
      <c r="P83" s="7"/>
      <c r="Q83" s="7"/>
      <c r="R83" s="7"/>
      <c r="S83" s="7"/>
      <c r="T83" s="7"/>
      <c r="U83" s="7"/>
      <c r="V83" s="7">
        <f t="shared" si="28"/>
        <v>0</v>
      </c>
      <c r="W83" s="7"/>
      <c r="X83" s="7"/>
      <c r="Y83" s="7"/>
      <c r="Z83" s="7"/>
      <c r="AA83" s="7"/>
      <c r="AB83" s="7"/>
      <c r="AC83" s="7"/>
      <c r="AD83" s="36"/>
      <c r="AE83" s="36"/>
      <c r="AF83" s="36">
        <f t="shared" si="29"/>
        <v>0</v>
      </c>
      <c r="AG83" s="36"/>
      <c r="AH83" s="36"/>
      <c r="AI83" s="36"/>
      <c r="AJ83" s="36"/>
      <c r="AK83" s="36"/>
      <c r="AL83" s="36"/>
      <c r="AM83" s="36"/>
      <c r="AN83" s="36"/>
    </row>
    <row r="84" spans="1:40" ht="14.6" x14ac:dyDescent="0.4">
      <c r="A84" s="1">
        <v>18000</v>
      </c>
      <c r="B84" s="34">
        <v>42630.82633666636</v>
      </c>
      <c r="C84" s="7">
        <v>0.84087428571428546</v>
      </c>
      <c r="D84">
        <v>0.9488171428571428</v>
      </c>
      <c r="E84">
        <v>0</v>
      </c>
      <c r="F84" s="30">
        <f t="shared" si="24"/>
        <v>0</v>
      </c>
      <c r="G84" s="27">
        <f t="shared" si="21"/>
        <v>0</v>
      </c>
      <c r="H84" s="30">
        <f t="shared" si="25"/>
        <v>0</v>
      </c>
      <c r="I84">
        <f t="shared" si="26"/>
        <v>0</v>
      </c>
      <c r="J84" s="7"/>
      <c r="K84" s="7"/>
      <c r="L84">
        <v>0</v>
      </c>
      <c r="M84" s="7"/>
      <c r="N84" s="7"/>
      <c r="P84" s="7"/>
      <c r="Q84" s="7"/>
      <c r="R84" s="7"/>
      <c r="S84" s="7"/>
      <c r="T84" s="7"/>
      <c r="U84" s="7"/>
      <c r="V84" s="7">
        <f t="shared" si="28"/>
        <v>0</v>
      </c>
      <c r="W84" s="7"/>
      <c r="X84" s="7"/>
      <c r="Y84" s="7"/>
      <c r="Z84" s="7"/>
      <c r="AA84" s="7"/>
      <c r="AB84" s="7"/>
      <c r="AC84" s="7"/>
      <c r="AD84" s="36"/>
      <c r="AE84" s="36"/>
      <c r="AF84" s="36">
        <f t="shared" si="29"/>
        <v>0</v>
      </c>
      <c r="AG84" s="36"/>
      <c r="AH84" s="36"/>
      <c r="AI84" s="36"/>
      <c r="AJ84" s="36"/>
      <c r="AK84" s="36"/>
      <c r="AL84" s="36"/>
      <c r="AM84" s="36"/>
      <c r="AN84" s="36"/>
    </row>
    <row r="85" spans="1:40" ht="14.6" x14ac:dyDescent="0.4">
      <c r="A85" s="1">
        <v>20000</v>
      </c>
      <c r="B85" s="34">
        <v>31719.617734344189</v>
      </c>
      <c r="C85" s="7">
        <v>0.13195925925925925</v>
      </c>
      <c r="D85">
        <v>0.3353888888888889</v>
      </c>
      <c r="E85">
        <v>0</v>
      </c>
      <c r="F85" s="30">
        <f t="shared" si="24"/>
        <v>0</v>
      </c>
      <c r="G85" s="27">
        <f t="shared" si="21"/>
        <v>0</v>
      </c>
      <c r="H85" s="30">
        <f t="shared" si="25"/>
        <v>0</v>
      </c>
      <c r="I85">
        <f t="shared" si="26"/>
        <v>0</v>
      </c>
      <c r="J85" s="7"/>
      <c r="K85" s="7"/>
      <c r="L85">
        <v>0</v>
      </c>
      <c r="M85" s="7"/>
      <c r="N85" s="7"/>
      <c r="P85" s="7"/>
      <c r="Q85" s="7"/>
      <c r="R85" s="7"/>
      <c r="S85" s="7"/>
      <c r="T85" s="7"/>
      <c r="U85" s="7"/>
      <c r="V85" s="7">
        <f t="shared" si="28"/>
        <v>0</v>
      </c>
      <c r="W85" s="7"/>
      <c r="X85" s="7"/>
      <c r="Y85" s="7"/>
      <c r="Z85" s="7"/>
      <c r="AA85" s="7"/>
      <c r="AB85" s="7"/>
      <c r="AC85" s="7"/>
      <c r="AD85" s="36"/>
      <c r="AE85" s="36"/>
      <c r="AF85" s="36">
        <f t="shared" si="29"/>
        <v>0</v>
      </c>
      <c r="AG85" s="36"/>
      <c r="AH85" s="36"/>
      <c r="AI85" s="36"/>
      <c r="AJ85" s="36"/>
      <c r="AK85" s="36"/>
      <c r="AL85" s="36"/>
      <c r="AM85" s="36"/>
      <c r="AN85" s="36"/>
    </row>
    <row r="86" spans="1:40" ht="14.6" x14ac:dyDescent="0.4">
      <c r="A86" s="1">
        <v>22000</v>
      </c>
      <c r="B86" s="34">
        <v>24472.294177327458</v>
      </c>
      <c r="C86" s="7">
        <v>0.76760869565217382</v>
      </c>
      <c r="D86">
        <v>0.8756173913043479</v>
      </c>
      <c r="E86">
        <v>0</v>
      </c>
      <c r="F86" s="30">
        <f t="shared" si="24"/>
        <v>0</v>
      </c>
      <c r="G86" s="27">
        <f t="shared" si="21"/>
        <v>0</v>
      </c>
      <c r="H86" s="30">
        <f t="shared" si="25"/>
        <v>0</v>
      </c>
      <c r="I86">
        <f t="shared" si="26"/>
        <v>0</v>
      </c>
      <c r="J86" s="7"/>
      <c r="K86" s="7"/>
      <c r="L86">
        <v>0</v>
      </c>
      <c r="M86" s="7"/>
      <c r="N86" s="7"/>
      <c r="P86" s="7"/>
      <c r="Q86" s="7"/>
      <c r="R86" s="7"/>
      <c r="S86" s="7"/>
      <c r="T86" s="7"/>
      <c r="U86" s="7"/>
      <c r="V86" s="7">
        <f t="shared" si="28"/>
        <v>0</v>
      </c>
      <c r="W86" s="7"/>
      <c r="X86" s="7"/>
      <c r="Y86" s="7"/>
      <c r="Z86" s="7"/>
      <c r="AA86" s="7"/>
      <c r="AB86" s="7"/>
      <c r="AC86" s="7"/>
      <c r="AD86" s="36"/>
      <c r="AE86" s="36"/>
      <c r="AF86" s="36">
        <f t="shared" si="29"/>
        <v>0</v>
      </c>
      <c r="AG86" s="36"/>
      <c r="AH86" s="36"/>
      <c r="AI86" s="36"/>
      <c r="AJ86" s="36"/>
      <c r="AK86" s="36"/>
      <c r="AL86" s="36"/>
      <c r="AM86" s="36"/>
      <c r="AN86" s="36"/>
    </row>
    <row r="87" spans="1:40" ht="14.6" x14ac:dyDescent="0.4">
      <c r="A87" s="1">
        <v>25000</v>
      </c>
      <c r="B87" s="34">
        <v>27097.145519609432</v>
      </c>
      <c r="C87" s="7">
        <v>0.71187857142857147</v>
      </c>
      <c r="D87">
        <v>0.87418214285714269</v>
      </c>
      <c r="E87">
        <v>0</v>
      </c>
      <c r="F87" s="30">
        <f t="shared" si="24"/>
        <v>0</v>
      </c>
      <c r="G87" s="27">
        <f t="shared" si="21"/>
        <v>0</v>
      </c>
      <c r="H87" s="30">
        <f t="shared" si="25"/>
        <v>0</v>
      </c>
      <c r="I87">
        <f t="shared" si="26"/>
        <v>0</v>
      </c>
      <c r="J87" s="7"/>
      <c r="K87" s="7"/>
      <c r="L87">
        <v>0</v>
      </c>
      <c r="M87" s="7"/>
      <c r="N87" s="7"/>
      <c r="T87" s="7"/>
      <c r="U87" s="7"/>
      <c r="V87" s="7">
        <f t="shared" si="28"/>
        <v>0</v>
      </c>
      <c r="W87" s="7"/>
      <c r="X87" s="7"/>
      <c r="Y87" s="7"/>
      <c r="Z87" s="7"/>
      <c r="AA87" s="7"/>
      <c r="AB87" s="7"/>
      <c r="AC87" s="7"/>
      <c r="AF87" s="36">
        <f t="shared" si="29"/>
        <v>0</v>
      </c>
      <c r="AG87" s="36"/>
      <c r="AH87" s="36"/>
      <c r="AI87" s="36"/>
      <c r="AJ87" s="36"/>
      <c r="AK87" s="36"/>
      <c r="AL87" s="36"/>
      <c r="AM87" s="36"/>
      <c r="AN87" s="36"/>
    </row>
    <row r="88" spans="1:40" x14ac:dyDescent="0.3">
      <c r="F88" s="30"/>
      <c r="G88" s="27"/>
      <c r="J88" s="7"/>
      <c r="K88" s="7"/>
      <c r="L88" s="7"/>
      <c r="M88" s="7"/>
      <c r="N88" s="7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spans="1:40" x14ac:dyDescent="0.3">
      <c r="A89" s="1" t="s">
        <v>133</v>
      </c>
      <c r="B89" s="30">
        <f>AVERAGE(B61:B87)</f>
        <v>231768.93851204365</v>
      </c>
      <c r="C89" s="36">
        <f>AVERAGE(C61:C87)</f>
        <v>0.63229388139003062</v>
      </c>
      <c r="D89" s="36">
        <f>AVERAGE(D61:D87)</f>
        <v>0.8171579766397612</v>
      </c>
      <c r="E89" s="36">
        <f>AVERAGE(E61:E87)</f>
        <v>0.58800000000000008</v>
      </c>
      <c r="F89" s="42">
        <f>SUM(F61:F87)</f>
        <v>3499138178.8522062</v>
      </c>
      <c r="G89" s="27">
        <f>SUM(G61:G87)</f>
        <v>22065.096797742834</v>
      </c>
      <c r="H89" s="42">
        <f>SUM(H61:H87)</f>
        <v>3514422991.8016548</v>
      </c>
      <c r="J89" s="7">
        <f>AVERAGE(J62:J75)</f>
        <v>0.255</v>
      </c>
      <c r="K89" s="7">
        <f>AVERAGE(K61:K77)</f>
        <v>0.45588235294117646</v>
      </c>
      <c r="L89" s="7">
        <f>AVERAGE(L75:L85)</f>
        <v>6.3636363636363638E-3</v>
      </c>
      <c r="M89" s="7">
        <f>AVERAGE(M62:M77)</f>
        <v>0.3805</v>
      </c>
      <c r="N89" s="7">
        <f>AVERAGE(N62:N77)</f>
        <v>0.30733333333333329</v>
      </c>
      <c r="O89" s="7">
        <f>AVERAGE(O61:O77)</f>
        <v>0.38749999999999996</v>
      </c>
      <c r="P89" s="7">
        <f>AVERAGE(P61:P75)</f>
        <v>0.23533333333333328</v>
      </c>
      <c r="Q89" s="7">
        <f>AVERAGE(Q61:Q77)</f>
        <v>0.29588235294117637</v>
      </c>
      <c r="R89" s="7">
        <f>AVERAGE(R61:R77)</f>
        <v>0.65411764705882347</v>
      </c>
      <c r="S89" s="7">
        <f>AVERAGE(S61:S77)</f>
        <v>0.53500000000000014</v>
      </c>
      <c r="T89" s="36">
        <f t="shared" ref="T89:AJ89" si="30">SUM(T61:T75)</f>
        <v>5241.3889361281208</v>
      </c>
      <c r="U89" s="36">
        <f>SUM(U61:U77)</f>
        <v>11832.276495968539</v>
      </c>
      <c r="V89" s="36">
        <f t="shared" si="30"/>
        <v>8090.4245354632267</v>
      </c>
      <c r="W89" s="36">
        <f>SUM(W61:W77)</f>
        <v>9765.0563419181126</v>
      </c>
      <c r="X89" s="36">
        <f>SUM(X61:X77)</f>
        <v>7176.9589503317357</v>
      </c>
      <c r="Y89" s="36">
        <f>SUM(Y61:Y77)</f>
        <v>10011.200403379215</v>
      </c>
      <c r="Z89" s="36">
        <f t="shared" si="30"/>
        <v>5097.2253571216461</v>
      </c>
      <c r="AA89" s="36">
        <f>SUM(AA61:AA77)</f>
        <v>7714.036573465175</v>
      </c>
      <c r="AB89" s="36">
        <f>SUM(AB61:AB77)</f>
        <v>14866.492563904454</v>
      </c>
      <c r="AC89" s="36">
        <f>SUM(AC61:AC77)</f>
        <v>12452.72988833041</v>
      </c>
      <c r="AD89" s="36">
        <f t="shared" si="30"/>
        <v>13.474073501780875</v>
      </c>
      <c r="AE89" s="36">
        <f>SUM(AE61:AE77)</f>
        <v>30.193515324148652</v>
      </c>
      <c r="AF89" s="36">
        <f t="shared" si="30"/>
        <v>20.729421360090853</v>
      </c>
      <c r="AG89" s="36">
        <f>SUM(AG61:AG77)</f>
        <v>24.920985651350733</v>
      </c>
      <c r="AH89" s="36">
        <f>SUM(AH61:AH77)</f>
        <v>18.361977216254207</v>
      </c>
      <c r="AI89" s="36">
        <f>SUM(AI61:AI77)</f>
        <v>25.63044466106356</v>
      </c>
      <c r="AJ89" s="36">
        <f t="shared" si="30"/>
        <v>13.078937218213188</v>
      </c>
      <c r="AK89" s="36">
        <f>SUM(AK61:AK77)</f>
        <v>19.742274693668314</v>
      </c>
      <c r="AL89" s="36">
        <f>SUM(AL61:AL77)</f>
        <v>37.704557412182254</v>
      </c>
      <c r="AM89" s="36">
        <f>SUM(AM61:AM77)</f>
        <v>31.712624213189908</v>
      </c>
    </row>
    <row r="90" spans="1:40" x14ac:dyDescent="0.3">
      <c r="B90" s="43">
        <f>SUM(B61:B87)</f>
        <v>6257761.3398251785</v>
      </c>
    </row>
    <row r="91" spans="1:40" x14ac:dyDescent="0.3">
      <c r="F91" s="2" t="s">
        <v>134</v>
      </c>
      <c r="T91" s="2" t="s">
        <v>135</v>
      </c>
      <c r="AD91" s="2" t="s">
        <v>135</v>
      </c>
    </row>
    <row r="92" spans="1:40" x14ac:dyDescent="0.3">
      <c r="T92" s="2" t="s">
        <v>136</v>
      </c>
      <c r="AD92" s="2" t="s">
        <v>137</v>
      </c>
    </row>
    <row r="93" spans="1:40" x14ac:dyDescent="0.3">
      <c r="AD93" s="2" t="s">
        <v>138</v>
      </c>
    </row>
    <row r="96" spans="1:40" x14ac:dyDescent="0.3">
      <c r="B96" s="2" t="s">
        <v>139</v>
      </c>
      <c r="C96" t="s">
        <v>140</v>
      </c>
    </row>
    <row r="97" spans="1:18" x14ac:dyDescent="0.3">
      <c r="B97" s="44"/>
      <c r="D97" s="44"/>
      <c r="E97" s="44"/>
      <c r="F97" s="44"/>
      <c r="G97" s="45" t="s">
        <v>141</v>
      </c>
      <c r="H97" s="45" t="s">
        <v>142</v>
      </c>
      <c r="I97" s="45" t="s">
        <v>143</v>
      </c>
      <c r="J97" s="45" t="s">
        <v>144</v>
      </c>
      <c r="K97" s="45" t="s">
        <v>145</v>
      </c>
      <c r="M97" s="2" t="s">
        <v>146</v>
      </c>
      <c r="O97" s="2" t="s">
        <v>147</v>
      </c>
      <c r="P97" s="2" t="s">
        <v>148</v>
      </c>
      <c r="Q97" s="2" t="s">
        <v>149</v>
      </c>
      <c r="R97" s="2" t="s">
        <v>150</v>
      </c>
    </row>
    <row r="98" spans="1:18" x14ac:dyDescent="0.3">
      <c r="B98" s="45" t="s">
        <v>151</v>
      </c>
      <c r="C98" s="45" t="s">
        <v>152</v>
      </c>
      <c r="D98" s="45" t="s">
        <v>153</v>
      </c>
      <c r="E98" s="45" t="s">
        <v>154</v>
      </c>
      <c r="F98" s="45" t="s">
        <v>155</v>
      </c>
      <c r="G98" s="44"/>
      <c r="H98" s="44"/>
      <c r="I98" s="44"/>
      <c r="J98" s="44"/>
      <c r="K98" s="44"/>
      <c r="N98" s="2"/>
      <c r="O98" s="2"/>
      <c r="P98" s="46"/>
      <c r="Q98" s="33"/>
    </row>
    <row r="99" spans="1:18" x14ac:dyDescent="0.3">
      <c r="A99" s="33">
        <v>3000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M99">
        <v>0.3</v>
      </c>
      <c r="N99" s="2"/>
      <c r="O99" s="2"/>
      <c r="P99" s="46"/>
      <c r="Q99" s="33"/>
    </row>
    <row r="100" spans="1:18" x14ac:dyDescent="0.3">
      <c r="A100" s="33">
        <v>3500</v>
      </c>
      <c r="B100">
        <v>0.96</v>
      </c>
      <c r="C100">
        <v>0.02</v>
      </c>
      <c r="D100">
        <v>0</v>
      </c>
      <c r="E100">
        <v>0</v>
      </c>
      <c r="F100">
        <v>0</v>
      </c>
      <c r="G100">
        <v>0.99</v>
      </c>
      <c r="H100">
        <v>0.05</v>
      </c>
      <c r="I100">
        <v>0</v>
      </c>
      <c r="J100">
        <v>0</v>
      </c>
      <c r="K100">
        <v>0</v>
      </c>
      <c r="M100">
        <v>0.2</v>
      </c>
      <c r="N100" s="2"/>
      <c r="O100" s="2"/>
      <c r="P100" s="47"/>
      <c r="Q100" s="37"/>
    </row>
    <row r="101" spans="1:18" x14ac:dyDescent="0.3">
      <c r="A101" s="37">
        <v>4000</v>
      </c>
      <c r="B101">
        <v>0.1</v>
      </c>
      <c r="C101">
        <v>0.68</v>
      </c>
      <c r="D101">
        <v>0</v>
      </c>
      <c r="E101">
        <v>0</v>
      </c>
      <c r="F101">
        <v>0</v>
      </c>
      <c r="G101">
        <v>0</v>
      </c>
      <c r="H101">
        <v>0.5</v>
      </c>
      <c r="I101">
        <v>0</v>
      </c>
      <c r="J101">
        <v>0</v>
      </c>
      <c r="K101">
        <v>0</v>
      </c>
      <c r="M101">
        <v>0.04</v>
      </c>
      <c r="N101" s="2"/>
      <c r="O101" s="2"/>
      <c r="P101" s="47"/>
      <c r="Q101" s="37"/>
    </row>
    <row r="102" spans="1:18" x14ac:dyDescent="0.3">
      <c r="A102" s="37">
        <v>4500</v>
      </c>
      <c r="B102">
        <v>0</v>
      </c>
      <c r="C102">
        <v>0.6</v>
      </c>
      <c r="D102">
        <v>0</v>
      </c>
      <c r="E102">
        <v>0</v>
      </c>
      <c r="F102">
        <v>0</v>
      </c>
      <c r="G102">
        <v>0</v>
      </c>
      <c r="H102">
        <v>0.99</v>
      </c>
      <c r="I102">
        <v>0</v>
      </c>
      <c r="J102">
        <v>0</v>
      </c>
      <c r="K102">
        <v>0</v>
      </c>
      <c r="M102">
        <v>0.02</v>
      </c>
      <c r="N102" s="2"/>
      <c r="O102" s="2"/>
      <c r="P102" s="48"/>
      <c r="Q102" s="38"/>
    </row>
    <row r="103" spans="1:18" x14ac:dyDescent="0.3">
      <c r="A103" s="38">
        <v>5000</v>
      </c>
      <c r="B103">
        <v>0</v>
      </c>
      <c r="C103">
        <v>0.05</v>
      </c>
      <c r="D103">
        <v>0.74</v>
      </c>
      <c r="E103">
        <v>0</v>
      </c>
      <c r="F103">
        <v>0</v>
      </c>
      <c r="G103">
        <v>0</v>
      </c>
      <c r="H103">
        <v>0.99</v>
      </c>
      <c r="I103">
        <v>0</v>
      </c>
      <c r="J103">
        <v>0</v>
      </c>
      <c r="K103">
        <v>0</v>
      </c>
      <c r="M103">
        <v>0.7</v>
      </c>
      <c r="N103" s="2"/>
      <c r="O103" s="2"/>
      <c r="P103" s="48"/>
      <c r="Q103" s="38"/>
    </row>
    <row r="104" spans="1:18" x14ac:dyDescent="0.3">
      <c r="A104" s="38">
        <v>5500</v>
      </c>
      <c r="B104">
        <v>0</v>
      </c>
      <c r="C104">
        <v>0</v>
      </c>
      <c r="D104">
        <v>0.92500000000000004</v>
      </c>
      <c r="E104">
        <v>0.05</v>
      </c>
      <c r="F104">
        <v>0</v>
      </c>
      <c r="G104">
        <v>0</v>
      </c>
      <c r="H104">
        <v>0.45</v>
      </c>
      <c r="I104">
        <v>0.36</v>
      </c>
      <c r="J104">
        <v>0</v>
      </c>
      <c r="K104">
        <v>0</v>
      </c>
      <c r="M104">
        <v>0.96</v>
      </c>
      <c r="N104" s="2"/>
      <c r="O104" s="2"/>
      <c r="P104" s="49"/>
      <c r="Q104" s="39"/>
    </row>
    <row r="105" spans="1:18" x14ac:dyDescent="0.3">
      <c r="A105" s="39">
        <v>6000</v>
      </c>
      <c r="B105">
        <v>0</v>
      </c>
      <c r="C105">
        <v>0</v>
      </c>
      <c r="D105">
        <v>0.41</v>
      </c>
      <c r="E105">
        <v>0.98</v>
      </c>
      <c r="F105">
        <v>0</v>
      </c>
      <c r="G105">
        <v>0</v>
      </c>
      <c r="H105">
        <v>0</v>
      </c>
      <c r="I105">
        <v>0.96</v>
      </c>
      <c r="J105">
        <v>0</v>
      </c>
      <c r="K105">
        <v>0</v>
      </c>
      <c r="M105">
        <v>0.96499999999999997</v>
      </c>
      <c r="N105" s="2"/>
      <c r="O105" s="2"/>
      <c r="P105" s="49"/>
      <c r="Q105" s="39"/>
    </row>
    <row r="106" spans="1:18" x14ac:dyDescent="0.3">
      <c r="A106" s="39">
        <v>6500</v>
      </c>
      <c r="B106">
        <v>0</v>
      </c>
      <c r="C106">
        <v>0</v>
      </c>
      <c r="D106">
        <v>2.5999999999999999E-2</v>
      </c>
      <c r="E106">
        <v>0.78</v>
      </c>
      <c r="F106">
        <v>0</v>
      </c>
      <c r="G106">
        <v>0</v>
      </c>
      <c r="H106">
        <v>0</v>
      </c>
      <c r="I106">
        <v>0.97</v>
      </c>
      <c r="J106">
        <v>0</v>
      </c>
      <c r="K106">
        <v>0</v>
      </c>
      <c r="M106">
        <v>0.95499999999999996</v>
      </c>
      <c r="N106" s="2"/>
      <c r="O106" s="2"/>
      <c r="P106" s="50"/>
      <c r="Q106" s="41"/>
    </row>
    <row r="107" spans="1:18" x14ac:dyDescent="0.3">
      <c r="A107" s="41">
        <v>7000</v>
      </c>
      <c r="B107">
        <v>0</v>
      </c>
      <c r="C107">
        <v>0</v>
      </c>
      <c r="D107">
        <v>0</v>
      </c>
      <c r="E107">
        <v>0.5</v>
      </c>
      <c r="F107">
        <v>5.0000000000000001E-3</v>
      </c>
      <c r="G107">
        <v>0</v>
      </c>
      <c r="H107">
        <v>0</v>
      </c>
      <c r="I107">
        <v>0.11</v>
      </c>
      <c r="J107">
        <v>0.98</v>
      </c>
      <c r="K107">
        <v>0</v>
      </c>
      <c r="M107">
        <v>0.96</v>
      </c>
      <c r="N107" s="2"/>
      <c r="O107" s="2">
        <v>4.0000000000000001E-3</v>
      </c>
      <c r="P107" s="50"/>
      <c r="Q107" s="41"/>
      <c r="R107">
        <v>0.01</v>
      </c>
    </row>
    <row r="108" spans="1:18" x14ac:dyDescent="0.3">
      <c r="A108" s="41">
        <v>7500</v>
      </c>
      <c r="B108">
        <v>0</v>
      </c>
      <c r="C108">
        <v>0</v>
      </c>
      <c r="D108">
        <v>0</v>
      </c>
      <c r="E108">
        <v>0.3</v>
      </c>
      <c r="F108">
        <v>0.96</v>
      </c>
      <c r="G108">
        <v>0</v>
      </c>
      <c r="H108">
        <v>0</v>
      </c>
      <c r="I108">
        <v>0</v>
      </c>
      <c r="J108">
        <v>0.98</v>
      </c>
      <c r="K108">
        <v>0</v>
      </c>
      <c r="M108">
        <v>0.95</v>
      </c>
      <c r="N108" s="2"/>
      <c r="O108" s="2">
        <v>0.93500000000000005</v>
      </c>
      <c r="P108" s="2">
        <v>0.04</v>
      </c>
      <c r="Q108" s="2"/>
      <c r="R108">
        <v>0.9</v>
      </c>
    </row>
    <row r="109" spans="1:18" x14ac:dyDescent="0.3">
      <c r="A109" s="1">
        <v>8000</v>
      </c>
      <c r="B109">
        <v>0</v>
      </c>
      <c r="C109">
        <v>0</v>
      </c>
      <c r="D109">
        <v>0</v>
      </c>
      <c r="E109">
        <v>0.13</v>
      </c>
      <c r="F109">
        <v>0.98</v>
      </c>
      <c r="G109">
        <v>0</v>
      </c>
      <c r="H109">
        <v>0</v>
      </c>
      <c r="I109">
        <v>0</v>
      </c>
      <c r="J109">
        <v>0.98</v>
      </c>
      <c r="K109">
        <v>0</v>
      </c>
      <c r="M109">
        <v>0.93799999999999994</v>
      </c>
      <c r="N109" s="2"/>
      <c r="O109" s="2">
        <v>0.27</v>
      </c>
      <c r="P109" s="2">
        <v>0.84</v>
      </c>
      <c r="Q109" s="2">
        <v>3.0000000000000001E-3</v>
      </c>
      <c r="R109">
        <v>0.98</v>
      </c>
    </row>
    <row r="110" spans="1:18" x14ac:dyDescent="0.3">
      <c r="A110" s="1">
        <v>8500</v>
      </c>
      <c r="B110">
        <v>0</v>
      </c>
      <c r="C110">
        <v>0</v>
      </c>
      <c r="D110">
        <v>0</v>
      </c>
      <c r="E110">
        <v>0.02</v>
      </c>
      <c r="F110">
        <v>0.97</v>
      </c>
      <c r="G110">
        <v>0</v>
      </c>
      <c r="H110">
        <v>0</v>
      </c>
      <c r="I110">
        <v>0</v>
      </c>
      <c r="J110">
        <v>0</v>
      </c>
      <c r="K110">
        <v>0.97</v>
      </c>
      <c r="M110">
        <v>0.92800000000000005</v>
      </c>
      <c r="N110" s="2"/>
      <c r="O110" s="2">
        <v>0.03</v>
      </c>
      <c r="P110" s="2">
        <v>0.94</v>
      </c>
      <c r="Q110" s="2">
        <v>0.995</v>
      </c>
      <c r="R110">
        <v>0.98</v>
      </c>
    </row>
    <row r="111" spans="1:18" x14ac:dyDescent="0.3">
      <c r="A111" s="1">
        <v>9000</v>
      </c>
      <c r="B111">
        <v>0</v>
      </c>
      <c r="C111">
        <v>0</v>
      </c>
      <c r="D111">
        <v>0</v>
      </c>
      <c r="E111">
        <v>0</v>
      </c>
      <c r="F111">
        <v>0.03</v>
      </c>
      <c r="G111">
        <v>0</v>
      </c>
      <c r="H111">
        <v>0</v>
      </c>
      <c r="I111">
        <v>0</v>
      </c>
      <c r="J111">
        <v>0</v>
      </c>
      <c r="K111">
        <v>0.97</v>
      </c>
      <c r="M111">
        <v>0.93500000000000005</v>
      </c>
      <c r="N111" s="2"/>
      <c r="O111" s="2">
        <v>4.0000000000000001E-3</v>
      </c>
      <c r="P111" s="2">
        <v>5.5E-2</v>
      </c>
      <c r="Q111" s="2">
        <v>0.995</v>
      </c>
      <c r="R111">
        <v>0.98</v>
      </c>
    </row>
    <row r="112" spans="1:18" x14ac:dyDescent="0.3">
      <c r="A112" s="1">
        <v>9500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0.97</v>
      </c>
      <c r="M112">
        <v>0.92200000000000004</v>
      </c>
      <c r="N112" s="2"/>
      <c r="O112" s="2"/>
      <c r="P112" s="2">
        <v>0.01</v>
      </c>
      <c r="Q112" s="2">
        <v>0.995</v>
      </c>
      <c r="R112">
        <v>0.97</v>
      </c>
    </row>
    <row r="113" spans="1:18" x14ac:dyDescent="0.3">
      <c r="A113" s="1">
        <v>10000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0.97</v>
      </c>
      <c r="M113">
        <v>0.91800000000000004</v>
      </c>
      <c r="N113" s="2"/>
      <c r="O113" s="2"/>
      <c r="P113" s="2">
        <v>2E-3</v>
      </c>
      <c r="Q113" s="2">
        <v>0.995</v>
      </c>
      <c r="R113">
        <v>0.97</v>
      </c>
    </row>
    <row r="114" spans="1:18" x14ac:dyDescent="0.3">
      <c r="A114" s="1">
        <v>10500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0.97</v>
      </c>
      <c r="M114">
        <v>0.91300000000000003</v>
      </c>
      <c r="N114" s="2"/>
      <c r="O114" s="2"/>
      <c r="P114" s="2"/>
      <c r="Q114" s="2">
        <v>0.995</v>
      </c>
      <c r="R114">
        <v>0.93</v>
      </c>
    </row>
    <row r="115" spans="1:18" x14ac:dyDescent="0.3">
      <c r="A115" s="1">
        <v>11000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0.96</v>
      </c>
      <c r="M115">
        <v>0.92200000000000004</v>
      </c>
      <c r="N115" s="2"/>
      <c r="O115" s="2"/>
      <c r="P115" s="2"/>
      <c r="Q115" s="2">
        <v>0.995</v>
      </c>
      <c r="R115">
        <v>0.93</v>
      </c>
    </row>
    <row r="116" spans="1:18" x14ac:dyDescent="0.3">
      <c r="A116" s="1">
        <v>11500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0.96</v>
      </c>
      <c r="M116">
        <v>0.9</v>
      </c>
      <c r="N116" s="2"/>
      <c r="O116" s="2"/>
      <c r="P116" s="2"/>
      <c r="Q116" s="2">
        <v>0.995</v>
      </c>
      <c r="R116">
        <v>0.93</v>
      </c>
    </row>
    <row r="117" spans="1:18" x14ac:dyDescent="0.3">
      <c r="A117" s="1">
        <v>12000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0.96</v>
      </c>
      <c r="M117">
        <v>0.9</v>
      </c>
      <c r="N117" s="2"/>
      <c r="O117" s="2"/>
      <c r="P117" s="2"/>
      <c r="Q117" s="2">
        <v>0.995</v>
      </c>
      <c r="R117">
        <v>0.93</v>
      </c>
    </row>
    <row r="118" spans="1:18" x14ac:dyDescent="0.3">
      <c r="A118" s="1">
        <v>12500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0.8</v>
      </c>
      <c r="M118">
        <v>0.8</v>
      </c>
      <c r="N118" s="2"/>
      <c r="O118" s="2"/>
      <c r="P118" s="2"/>
      <c r="Q118" s="2">
        <v>0.85</v>
      </c>
      <c r="R118">
        <v>0.8</v>
      </c>
    </row>
    <row r="119" spans="1:18" x14ac:dyDescent="0.3">
      <c r="A119" s="1">
        <v>13000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0.7</v>
      </c>
      <c r="M119">
        <v>0.7</v>
      </c>
      <c r="N119" s="2"/>
      <c r="O119" s="2"/>
      <c r="P119" s="2"/>
      <c r="Q119" s="2">
        <v>0.75</v>
      </c>
      <c r="R119">
        <v>0.7</v>
      </c>
    </row>
    <row r="120" spans="1:18" x14ac:dyDescent="0.3">
      <c r="A120" s="1">
        <v>14000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0.05</v>
      </c>
      <c r="M120">
        <v>0.05</v>
      </c>
      <c r="N120" s="2"/>
      <c r="O120" s="2"/>
      <c r="P120" s="2"/>
      <c r="Q120" s="2">
        <v>0.05</v>
      </c>
      <c r="R120">
        <v>0.05</v>
      </c>
    </row>
    <row r="121" spans="1:18" x14ac:dyDescent="0.3">
      <c r="A121" s="1">
        <v>16000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M121">
        <v>0</v>
      </c>
      <c r="N121" s="2"/>
      <c r="O121" s="2"/>
      <c r="P121" s="2"/>
      <c r="Q121" s="2"/>
    </row>
    <row r="122" spans="1:18" x14ac:dyDescent="0.3">
      <c r="A122" s="1">
        <v>18000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M122">
        <v>0</v>
      </c>
      <c r="N122" s="2"/>
      <c r="O122" s="2"/>
      <c r="P122" s="2"/>
      <c r="Q122" s="2"/>
    </row>
    <row r="123" spans="1:18" x14ac:dyDescent="0.3">
      <c r="A123" s="1">
        <v>20000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M123">
        <v>0</v>
      </c>
      <c r="N123" s="2"/>
      <c r="O123" s="2"/>
      <c r="P123" s="2"/>
      <c r="Q123" s="2"/>
    </row>
    <row r="124" spans="1:18" x14ac:dyDescent="0.3">
      <c r="A124" s="1">
        <v>22000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M124">
        <v>0</v>
      </c>
      <c r="N124" s="2"/>
      <c r="O124" s="2"/>
      <c r="P124" s="2"/>
      <c r="Q124" s="2"/>
    </row>
    <row r="125" spans="1:18" x14ac:dyDescent="0.3">
      <c r="A125" s="1">
        <v>25000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M125">
        <v>0</v>
      </c>
      <c r="N125" s="2"/>
      <c r="O125" s="2"/>
      <c r="P125" s="2"/>
      <c r="Q125" s="2"/>
    </row>
    <row r="131" spans="1:12" x14ac:dyDescent="0.3">
      <c r="B131" s="2" t="s">
        <v>156</v>
      </c>
      <c r="L131" t="s">
        <v>122</v>
      </c>
    </row>
    <row r="132" spans="1:12" x14ac:dyDescent="0.3">
      <c r="D132" s="2"/>
      <c r="E132" s="2" t="s">
        <v>157</v>
      </c>
      <c r="L132" t="s">
        <v>158</v>
      </c>
    </row>
    <row r="133" spans="1:12" x14ac:dyDescent="0.3">
      <c r="C133" s="2" t="s">
        <v>159</v>
      </c>
      <c r="E133" s="2" t="s">
        <v>160</v>
      </c>
    </row>
    <row r="134" spans="1:12" x14ac:dyDescent="0.3">
      <c r="A134" s="33">
        <v>3000</v>
      </c>
      <c r="C134">
        <v>0</v>
      </c>
      <c r="E134" s="25">
        <f>C134*B61*27</f>
        <v>0</v>
      </c>
      <c r="L134">
        <v>0</v>
      </c>
    </row>
    <row r="135" spans="1:12" x14ac:dyDescent="0.3">
      <c r="A135" s="33">
        <v>3500</v>
      </c>
      <c r="C135">
        <v>0</v>
      </c>
      <c r="E135" s="25">
        <f t="shared" ref="E135:E160" si="31">C135*B62*27</f>
        <v>0</v>
      </c>
      <c r="L135">
        <v>0</v>
      </c>
    </row>
    <row r="136" spans="1:12" x14ac:dyDescent="0.3">
      <c r="A136" s="37">
        <v>4000</v>
      </c>
      <c r="C136" s="51">
        <v>2.7748191909529405E-2</v>
      </c>
      <c r="E136" s="25">
        <f t="shared" si="31"/>
        <v>335651.75306708005</v>
      </c>
      <c r="L136">
        <v>0</v>
      </c>
    </row>
    <row r="137" spans="1:12" x14ac:dyDescent="0.3">
      <c r="A137" s="37">
        <v>4500</v>
      </c>
      <c r="C137" s="51">
        <v>3.7048869170918104E-2</v>
      </c>
      <c r="E137" s="25">
        <f t="shared" si="31"/>
        <v>745264.03737898578</v>
      </c>
      <c r="L137">
        <v>0</v>
      </c>
    </row>
    <row r="138" spans="1:12" x14ac:dyDescent="0.3">
      <c r="A138" s="38">
        <v>5000</v>
      </c>
      <c r="C138" s="51">
        <v>1.8508810335600794E-2</v>
      </c>
      <c r="E138" s="25">
        <f t="shared" si="31"/>
        <v>315526.55364557815</v>
      </c>
      <c r="L138">
        <v>0</v>
      </c>
    </row>
    <row r="139" spans="1:12" x14ac:dyDescent="0.3">
      <c r="A139" s="38">
        <v>5500</v>
      </c>
      <c r="C139" s="51">
        <v>0.18354927390263068</v>
      </c>
      <c r="E139" s="25">
        <f t="shared" si="31"/>
        <v>2673588.9117018757</v>
      </c>
      <c r="L139">
        <v>0</v>
      </c>
    </row>
    <row r="140" spans="1:12" x14ac:dyDescent="0.3">
      <c r="A140" s="39">
        <v>6000</v>
      </c>
      <c r="C140" s="51">
        <v>0.1432602081292744</v>
      </c>
      <c r="E140" s="25">
        <f t="shared" si="31"/>
        <v>1738865.0666090332</v>
      </c>
      <c r="L140">
        <v>0</v>
      </c>
    </row>
    <row r="141" spans="1:12" x14ac:dyDescent="0.3">
      <c r="A141" s="39">
        <v>6500</v>
      </c>
      <c r="C141" s="51">
        <v>2.0244715185037777E-2</v>
      </c>
      <c r="E141" s="25">
        <f t="shared" si="31"/>
        <v>206976.46127004983</v>
      </c>
      <c r="L141">
        <v>0</v>
      </c>
    </row>
    <row r="142" spans="1:12" x14ac:dyDescent="0.3">
      <c r="A142" s="41">
        <v>7000</v>
      </c>
      <c r="C142" s="51">
        <v>8.8237001557715244E-3</v>
      </c>
      <c r="E142" s="25">
        <f t="shared" si="31"/>
        <v>74805.854817545653</v>
      </c>
      <c r="L142">
        <v>0</v>
      </c>
    </row>
    <row r="143" spans="1:12" x14ac:dyDescent="0.3">
      <c r="A143" s="41">
        <v>7500</v>
      </c>
      <c r="C143" s="51">
        <v>5.4967642277419003E-3</v>
      </c>
      <c r="E143" s="25">
        <f t="shared" si="31"/>
        <v>41210.27705630484</v>
      </c>
      <c r="L143">
        <v>0</v>
      </c>
    </row>
    <row r="144" spans="1:12" x14ac:dyDescent="0.3">
      <c r="A144" s="1">
        <v>8000</v>
      </c>
      <c r="C144" s="51">
        <v>8.1707977242571166E-3</v>
      </c>
      <c r="E144" s="25">
        <f t="shared" si="31"/>
        <v>53041.05534068626</v>
      </c>
      <c r="L144">
        <v>0</v>
      </c>
    </row>
    <row r="145" spans="1:12" x14ac:dyDescent="0.3">
      <c r="A145" s="1">
        <v>8500</v>
      </c>
      <c r="C145" s="51">
        <v>1.1252662594130416E-3</v>
      </c>
      <c r="E145" s="25">
        <f t="shared" si="31"/>
        <v>6336.1606120902907</v>
      </c>
      <c r="L145">
        <v>0</v>
      </c>
    </row>
    <row r="146" spans="1:12" x14ac:dyDescent="0.3">
      <c r="A146" s="1">
        <v>9000</v>
      </c>
      <c r="C146" s="51">
        <v>1.5839611252783691E-3</v>
      </c>
      <c r="E146" s="25">
        <f t="shared" si="31"/>
        <v>8184.4740946035299</v>
      </c>
      <c r="L146">
        <v>0</v>
      </c>
    </row>
    <row r="147" spans="1:12" x14ac:dyDescent="0.3">
      <c r="A147" s="1">
        <v>9500</v>
      </c>
      <c r="C147" s="51">
        <v>1.822620503955755E-3</v>
      </c>
      <c r="E147" s="25">
        <f t="shared" si="31"/>
        <v>9065.812671258549</v>
      </c>
      <c r="L147">
        <v>0</v>
      </c>
    </row>
    <row r="148" spans="1:12" x14ac:dyDescent="0.3">
      <c r="A148" s="1">
        <v>10000</v>
      </c>
      <c r="C148" s="51">
        <v>1.4667735454678486E-3</v>
      </c>
      <c r="E148" s="25">
        <f t="shared" si="31"/>
        <v>6606.9714726215225</v>
      </c>
      <c r="L148">
        <v>0.35</v>
      </c>
    </row>
    <row r="149" spans="1:12" x14ac:dyDescent="0.3">
      <c r="A149" s="1">
        <v>10500</v>
      </c>
      <c r="C149" s="51">
        <v>2.2743351232363163E-3</v>
      </c>
      <c r="E149" s="25">
        <f t="shared" si="31"/>
        <v>9077.2683993452829</v>
      </c>
    </row>
    <row r="150" spans="1:12" x14ac:dyDescent="0.3">
      <c r="A150" s="1">
        <v>11000</v>
      </c>
      <c r="C150" s="51">
        <v>9.4875913150168842E-3</v>
      </c>
      <c r="E150" s="25">
        <f t="shared" si="31"/>
        <v>33658.186898535452</v>
      </c>
    </row>
    <row r="151" spans="1:12" x14ac:dyDescent="0.3">
      <c r="A151" s="1">
        <v>11500</v>
      </c>
      <c r="C151" s="51">
        <v>3.1250545029206872E-3</v>
      </c>
      <c r="E151" s="25">
        <f t="shared" si="31"/>
        <v>10161.639691214787</v>
      </c>
    </row>
    <row r="152" spans="1:12" x14ac:dyDescent="0.3">
      <c r="A152" s="1">
        <v>12000</v>
      </c>
      <c r="C152" s="51">
        <v>2.5892829497463992E-3</v>
      </c>
      <c r="E152" s="25">
        <f t="shared" si="31"/>
        <v>7553.3921605261075</v>
      </c>
      <c r="L152">
        <v>0.46</v>
      </c>
    </row>
    <row r="153" spans="1:12" x14ac:dyDescent="0.3">
      <c r="A153" s="1">
        <v>12500</v>
      </c>
      <c r="C153" s="51">
        <v>2.6673004862264008E-3</v>
      </c>
      <c r="E153" s="25">
        <f t="shared" si="31"/>
        <v>7015.2012815203643</v>
      </c>
    </row>
    <row r="154" spans="1:12" x14ac:dyDescent="0.3">
      <c r="A154" s="1">
        <v>13000</v>
      </c>
      <c r="C154" s="51">
        <v>2.2319290451273117E-3</v>
      </c>
      <c r="E154" s="25">
        <f t="shared" si="31"/>
        <v>5159.512169891791</v>
      </c>
    </row>
    <row r="155" spans="1:12" x14ac:dyDescent="0.3">
      <c r="A155" s="1">
        <v>14000</v>
      </c>
      <c r="C155" s="51">
        <v>3.5836279693530052E-3</v>
      </c>
      <c r="E155" s="25">
        <f t="shared" si="31"/>
        <v>7365.8481864191845</v>
      </c>
      <c r="L155">
        <v>0.7</v>
      </c>
    </row>
    <row r="156" spans="1:12" x14ac:dyDescent="0.3">
      <c r="A156" s="1">
        <v>16000</v>
      </c>
      <c r="C156" s="51">
        <v>2.1678997562571958E-3</v>
      </c>
      <c r="E156" s="25">
        <f t="shared" si="31"/>
        <v>3389.5328351547751</v>
      </c>
      <c r="L156">
        <v>0.7</v>
      </c>
    </row>
    <row r="157" spans="1:12" x14ac:dyDescent="0.3">
      <c r="A157" s="1">
        <v>18000</v>
      </c>
      <c r="C157" s="51">
        <v>6.7670457259788694E-4</v>
      </c>
      <c r="E157" s="25">
        <f t="shared" si="31"/>
        <v>778.90882812251084</v>
      </c>
      <c r="L157">
        <v>0.7</v>
      </c>
    </row>
    <row r="158" spans="1:12" x14ac:dyDescent="0.3">
      <c r="A158" s="1">
        <v>20000</v>
      </c>
      <c r="C158">
        <v>0</v>
      </c>
      <c r="E158" s="25">
        <f t="shared" si="31"/>
        <v>0</v>
      </c>
      <c r="L158">
        <v>0.05</v>
      </c>
    </row>
    <row r="159" spans="1:12" x14ac:dyDescent="0.3">
      <c r="A159" s="1">
        <v>22000</v>
      </c>
      <c r="C159">
        <v>0</v>
      </c>
      <c r="E159" s="25">
        <f t="shared" si="31"/>
        <v>0</v>
      </c>
      <c r="L159">
        <v>0</v>
      </c>
    </row>
    <row r="160" spans="1:12" x14ac:dyDescent="0.3">
      <c r="A160" s="1">
        <v>25000</v>
      </c>
      <c r="C160">
        <v>0</v>
      </c>
      <c r="E160" s="25">
        <f t="shared" si="31"/>
        <v>0</v>
      </c>
      <c r="L160">
        <v>0</v>
      </c>
    </row>
    <row r="162" spans="3:5" x14ac:dyDescent="0.3">
      <c r="C162">
        <f>SUM(C134:C161)</f>
        <v>0.48765367789535879</v>
      </c>
      <c r="E162" s="25">
        <f>SUM(E134:E161)</f>
        <v>6299282.8801884446</v>
      </c>
    </row>
  </sheetData>
  <conditionalFormatting sqref="D53">
    <cfRule type="expression" dxfId="9" priority="10" stopIfTrue="1">
      <formula>$D$52&gt;$D$36</formula>
    </cfRule>
  </conditionalFormatting>
  <conditionalFormatting sqref="E53">
    <cfRule type="expression" dxfId="8" priority="9" stopIfTrue="1">
      <formula>$E$52&gt;$E$36</formula>
    </cfRule>
  </conditionalFormatting>
  <conditionalFormatting sqref="C53">
    <cfRule type="expression" dxfId="7" priority="8" stopIfTrue="1">
      <formula>$C$52&gt;$C$36</formula>
    </cfRule>
  </conditionalFormatting>
  <conditionalFormatting sqref="F53">
    <cfRule type="expression" dxfId="6" priority="7" stopIfTrue="1">
      <formula>$F$52&gt;$F$36</formula>
    </cfRule>
  </conditionalFormatting>
  <conditionalFormatting sqref="G53">
    <cfRule type="expression" dxfId="5" priority="6" stopIfTrue="1">
      <formula>$G$52&gt;$G$36</formula>
    </cfRule>
  </conditionalFormatting>
  <conditionalFormatting sqref="H53">
    <cfRule type="expression" dxfId="4" priority="5" stopIfTrue="1">
      <formula>$H$52&gt;$H$36</formula>
    </cfRule>
  </conditionalFormatting>
  <conditionalFormatting sqref="I53">
    <cfRule type="expression" dxfId="3" priority="4" stopIfTrue="1">
      <formula>$I$52&gt;$I$36</formula>
    </cfRule>
  </conditionalFormatting>
  <conditionalFormatting sqref="J53">
    <cfRule type="expression" dxfId="2" priority="3" stopIfTrue="1">
      <formula>$J$52&gt;$J$36</formula>
    </cfRule>
  </conditionalFormatting>
  <conditionalFormatting sqref="K53">
    <cfRule type="expression" dxfId="1" priority="2" stopIfTrue="1">
      <formula>$K$52&gt;$K$36</formula>
    </cfRule>
  </conditionalFormatting>
  <conditionalFormatting sqref="L53">
    <cfRule type="expression" dxfId="0" priority="1" stopIfTrue="1">
      <formula>$L$52&gt;$L$36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K35"/>
  <sheetViews>
    <sheetView workbookViewId="0">
      <selection activeCell="O29" sqref="O29"/>
    </sheetView>
  </sheetViews>
  <sheetFormatPr defaultRowHeight="12.45" x14ac:dyDescent="0.3"/>
  <sheetData>
    <row r="4" spans="5:11" x14ac:dyDescent="0.3">
      <c r="F4" t="s">
        <v>167</v>
      </c>
      <c r="I4" t="s">
        <v>168</v>
      </c>
    </row>
    <row r="5" spans="5:11" x14ac:dyDescent="0.3">
      <c r="G5" s="2"/>
    </row>
    <row r="6" spans="5:11" x14ac:dyDescent="0.3">
      <c r="H6" t="s">
        <v>169</v>
      </c>
      <c r="J6" t="s">
        <v>169</v>
      </c>
      <c r="K6" t="s">
        <v>170</v>
      </c>
    </row>
    <row r="7" spans="5:11" x14ac:dyDescent="0.3">
      <c r="E7" s="2" t="s">
        <v>171</v>
      </c>
      <c r="H7" t="s">
        <v>172</v>
      </c>
      <c r="J7" t="s">
        <v>128</v>
      </c>
    </row>
    <row r="8" spans="5:11" x14ac:dyDescent="0.3">
      <c r="E8">
        <v>2500</v>
      </c>
    </row>
    <row r="9" spans="5:11" x14ac:dyDescent="0.3">
      <c r="E9" s="33">
        <v>3000</v>
      </c>
      <c r="H9">
        <v>0.18528315789473684</v>
      </c>
      <c r="J9">
        <v>0.3621273684210527</v>
      </c>
    </row>
    <row r="10" spans="5:11" x14ac:dyDescent="0.3">
      <c r="E10" s="33">
        <v>3500</v>
      </c>
      <c r="H10">
        <v>0.37741944444444442</v>
      </c>
      <c r="J10">
        <v>0.64073194444444415</v>
      </c>
    </row>
    <row r="11" spans="5:11" x14ac:dyDescent="0.3">
      <c r="E11" s="37">
        <v>4000</v>
      </c>
      <c r="H11">
        <v>0.48223928571428581</v>
      </c>
      <c r="J11">
        <v>0.74323035714285723</v>
      </c>
      <c r="K11" s="18"/>
    </row>
    <row r="12" spans="5:11" x14ac:dyDescent="0.3">
      <c r="E12" s="37">
        <v>4500</v>
      </c>
      <c r="H12">
        <v>0.55963409090909078</v>
      </c>
      <c r="J12">
        <v>0.80553181818181807</v>
      </c>
      <c r="K12" s="18"/>
    </row>
    <row r="13" spans="5:11" x14ac:dyDescent="0.3">
      <c r="E13" s="38">
        <v>5000</v>
      </c>
      <c r="H13">
        <v>0.61489189189189175</v>
      </c>
      <c r="J13">
        <v>0.83796486486486488</v>
      </c>
    </row>
    <row r="14" spans="5:11" x14ac:dyDescent="0.3">
      <c r="E14" s="38">
        <v>5500</v>
      </c>
      <c r="H14">
        <v>0.64467999999999992</v>
      </c>
      <c r="J14">
        <v>0.8495299999999999</v>
      </c>
    </row>
    <row r="15" spans="5:11" x14ac:dyDescent="0.3">
      <c r="E15" s="39">
        <v>6000</v>
      </c>
      <c r="H15">
        <v>0.68446153846153834</v>
      </c>
      <c r="J15">
        <v>0.87297692307692298</v>
      </c>
    </row>
    <row r="16" spans="5:11" x14ac:dyDescent="0.3">
      <c r="E16" s="40">
        <v>6500</v>
      </c>
      <c r="H16">
        <v>0.71205000000000007</v>
      </c>
      <c r="J16">
        <v>0.89294090909090895</v>
      </c>
    </row>
    <row r="17" spans="5:10" x14ac:dyDescent="0.3">
      <c r="E17" s="41">
        <v>7000</v>
      </c>
      <c r="H17">
        <v>0.71845263157894734</v>
      </c>
      <c r="J17">
        <v>0.90685263157894735</v>
      </c>
    </row>
    <row r="18" spans="5:10" x14ac:dyDescent="0.3">
      <c r="E18" s="41">
        <v>7500</v>
      </c>
      <c r="H18">
        <v>0.71530851063829781</v>
      </c>
      <c r="J18">
        <v>0.90538723404255317</v>
      </c>
    </row>
    <row r="19" spans="5:10" x14ac:dyDescent="0.3">
      <c r="E19" s="1">
        <v>8000</v>
      </c>
      <c r="H19">
        <v>0.72489523809523815</v>
      </c>
      <c r="J19">
        <v>0.88812619047619057</v>
      </c>
    </row>
    <row r="20" spans="5:10" x14ac:dyDescent="0.3">
      <c r="E20" s="1">
        <v>8500</v>
      </c>
      <c r="H20">
        <v>0.76059459459459455</v>
      </c>
      <c r="J20">
        <v>0.92840270270270264</v>
      </c>
    </row>
    <row r="21" spans="5:10" x14ac:dyDescent="0.3">
      <c r="E21" s="1">
        <v>9000</v>
      </c>
      <c r="H21">
        <v>0.79829090909090905</v>
      </c>
      <c r="J21">
        <v>0.94412424242424242</v>
      </c>
    </row>
    <row r="22" spans="5:10" x14ac:dyDescent="0.3">
      <c r="E22" s="1">
        <v>9500</v>
      </c>
      <c r="H22">
        <v>0.5832551724137931</v>
      </c>
      <c r="J22">
        <v>0.83741379310344821</v>
      </c>
    </row>
    <row r="23" spans="5:10" x14ac:dyDescent="0.3">
      <c r="E23" s="1">
        <v>10000</v>
      </c>
      <c r="H23">
        <v>0.70755769230769239</v>
      </c>
      <c r="J23">
        <v>0.89926153846153845</v>
      </c>
    </row>
    <row r="24" spans="5:10" x14ac:dyDescent="0.3">
      <c r="E24" s="1">
        <v>10500</v>
      </c>
      <c r="H24">
        <v>0.85365416666666671</v>
      </c>
      <c r="J24">
        <v>0.96433333333333326</v>
      </c>
    </row>
    <row r="25" spans="5:10" x14ac:dyDescent="0.3">
      <c r="E25" s="1">
        <v>11000</v>
      </c>
      <c r="H25">
        <v>0.833431818181818</v>
      </c>
      <c r="J25">
        <v>0.95410909090909091</v>
      </c>
    </row>
    <row r="26" spans="5:10" x14ac:dyDescent="0.3">
      <c r="E26" s="1">
        <v>11500</v>
      </c>
      <c r="H26">
        <v>0.41852</v>
      </c>
      <c r="J26">
        <v>0.73388500000000012</v>
      </c>
    </row>
    <row r="27" spans="5:10" x14ac:dyDescent="0.3">
      <c r="E27" s="1">
        <v>12000</v>
      </c>
      <c r="H27">
        <v>0.71694444444444438</v>
      </c>
      <c r="J27">
        <v>0.89990000000000003</v>
      </c>
    </row>
    <row r="28" spans="5:10" x14ac:dyDescent="0.3">
      <c r="E28" s="1">
        <v>12500</v>
      </c>
      <c r="H28">
        <v>0.84656249999999988</v>
      </c>
      <c r="J28">
        <v>0.95711250000000003</v>
      </c>
    </row>
    <row r="29" spans="5:10" x14ac:dyDescent="0.3">
      <c r="E29" s="1">
        <v>13000</v>
      </c>
      <c r="H29">
        <v>0.85491874999999995</v>
      </c>
      <c r="J29">
        <v>0.95540625000000001</v>
      </c>
    </row>
    <row r="30" spans="5:10" x14ac:dyDescent="0.3">
      <c r="E30" s="1">
        <v>14000</v>
      </c>
      <c r="H30">
        <v>0.29160370370370375</v>
      </c>
      <c r="J30">
        <v>0.49602222222222231</v>
      </c>
    </row>
    <row r="31" spans="5:10" x14ac:dyDescent="0.3">
      <c r="E31" s="1">
        <v>16000</v>
      </c>
      <c r="H31">
        <v>0.53496444444444446</v>
      </c>
      <c r="J31">
        <v>0.75388888888888894</v>
      </c>
    </row>
    <row r="32" spans="5:10" x14ac:dyDescent="0.3">
      <c r="E32" s="1">
        <v>18000</v>
      </c>
      <c r="H32">
        <v>0.84087428571428546</v>
      </c>
      <c r="J32">
        <v>0.9488171428571428</v>
      </c>
    </row>
    <row r="33" spans="5:10" x14ac:dyDescent="0.3">
      <c r="E33" s="1">
        <v>20000</v>
      </c>
      <c r="H33">
        <v>0.13195925925925925</v>
      </c>
      <c r="J33">
        <v>0.3353888888888889</v>
      </c>
    </row>
    <row r="34" spans="5:10" x14ac:dyDescent="0.3">
      <c r="E34" s="1">
        <v>22000</v>
      </c>
      <c r="H34">
        <v>0.76760869565217382</v>
      </c>
      <c r="J34">
        <v>0.8756173913043479</v>
      </c>
    </row>
    <row r="35" spans="5:10" x14ac:dyDescent="0.3">
      <c r="E35" s="1">
        <v>25000</v>
      </c>
      <c r="H35">
        <v>0.71187857142857147</v>
      </c>
      <c r="J35">
        <v>0.87418214285714269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workbookViewId="0">
      <selection activeCell="T5" sqref="T5"/>
    </sheetView>
  </sheetViews>
  <sheetFormatPr defaultRowHeight="12.45" x14ac:dyDescent="0.3"/>
  <cols>
    <col min="2" max="2" width="10" customWidth="1"/>
    <col min="11" max="11" width="12.3828125" customWidth="1"/>
    <col min="13" max="13" width="12.3828125" customWidth="1"/>
  </cols>
  <sheetData>
    <row r="1" spans="1:25" x14ac:dyDescent="0.3">
      <c r="A1" t="s">
        <v>173</v>
      </c>
    </row>
    <row r="2" spans="1:25" x14ac:dyDescent="0.3">
      <c r="E2" t="s">
        <v>174</v>
      </c>
      <c r="F2" t="s">
        <v>175</v>
      </c>
      <c r="M2" t="s">
        <v>176</v>
      </c>
      <c r="N2" s="25">
        <v>6.6259999999999998E-27</v>
      </c>
      <c r="O2" t="s">
        <v>177</v>
      </c>
    </row>
    <row r="3" spans="1:25" x14ac:dyDescent="0.3">
      <c r="C3" t="s">
        <v>178</v>
      </c>
      <c r="E3">
        <v>103</v>
      </c>
      <c r="F3">
        <v>740</v>
      </c>
      <c r="M3" t="s">
        <v>179</v>
      </c>
      <c r="N3" s="25">
        <v>29970000000</v>
      </c>
      <c r="O3" t="s">
        <v>180</v>
      </c>
    </row>
    <row r="4" spans="1:25" x14ac:dyDescent="0.3">
      <c r="R4" s="2" t="s">
        <v>171</v>
      </c>
      <c r="T4" s="2" t="s">
        <v>181</v>
      </c>
      <c r="V4" t="s">
        <v>182</v>
      </c>
    </row>
    <row r="5" spans="1:25" x14ac:dyDescent="0.3">
      <c r="D5" t="s">
        <v>171</v>
      </c>
      <c r="G5" t="s">
        <v>183</v>
      </c>
      <c r="I5" t="s">
        <v>184</v>
      </c>
      <c r="K5" t="s">
        <v>181</v>
      </c>
      <c r="M5" t="s">
        <v>185</v>
      </c>
      <c r="O5" t="s">
        <v>181</v>
      </c>
      <c r="R5">
        <v>2000</v>
      </c>
      <c r="T5" s="25">
        <f>O7</f>
        <v>1130260.1625448922</v>
      </c>
    </row>
    <row r="6" spans="1:25" x14ac:dyDescent="0.3">
      <c r="B6" t="s">
        <v>186</v>
      </c>
      <c r="C6" t="s">
        <v>187</v>
      </c>
      <c r="D6" t="s">
        <v>188</v>
      </c>
      <c r="E6" t="s">
        <v>189</v>
      </c>
      <c r="G6" t="s">
        <v>190</v>
      </c>
      <c r="H6" t="s">
        <v>191</v>
      </c>
      <c r="K6" t="s">
        <v>192</v>
      </c>
      <c r="M6" t="s">
        <v>193</v>
      </c>
      <c r="O6" t="s">
        <v>194</v>
      </c>
      <c r="R6">
        <v>2500</v>
      </c>
      <c r="V6" s="25">
        <f>[1]VegaSpectrum!R10</f>
        <v>493.4446437560166</v>
      </c>
    </row>
    <row r="7" spans="1:25" ht="14.6" x14ac:dyDescent="0.4">
      <c r="B7">
        <f t="shared" ref="B7:B14" si="0">D7/10000000</f>
        <v>2.0000000000000002E-5</v>
      </c>
      <c r="C7">
        <f>D7*10</f>
        <v>2000</v>
      </c>
      <c r="D7">
        <v>200</v>
      </c>
      <c r="E7">
        <v>120</v>
      </c>
      <c r="G7">
        <v>91</v>
      </c>
      <c r="H7">
        <f>G7-740</f>
        <v>-649</v>
      </c>
      <c r="I7">
        <f>-10.7-H7/265</f>
        <v>-8.2509433962264147</v>
      </c>
      <c r="K7">
        <f>10^I7</f>
        <v>5.6112110498890743E-9</v>
      </c>
      <c r="M7" s="25">
        <f>$N$2*$N$3/B7</f>
        <v>9.9290609999999991E-12</v>
      </c>
      <c r="O7" s="25">
        <f>K7/M7*C7</f>
        <v>1130260.1625448922</v>
      </c>
      <c r="P7" s="55"/>
      <c r="R7">
        <v>3000</v>
      </c>
      <c r="T7" s="25">
        <f>$O$8</f>
        <v>1646954.849827152</v>
      </c>
      <c r="V7" s="25">
        <f>[1]VegaSpectrum!R11</f>
        <v>500.86660099143938</v>
      </c>
    </row>
    <row r="8" spans="1:25" x14ac:dyDescent="0.3">
      <c r="B8">
        <f t="shared" si="0"/>
        <v>3.0000000000000001E-5</v>
      </c>
      <c r="C8">
        <f t="shared" ref="C8:C22" si="1">D8*10</f>
        <v>3000</v>
      </c>
      <c r="D8">
        <v>300</v>
      </c>
      <c r="E8">
        <v>142</v>
      </c>
      <c r="G8">
        <v>141</v>
      </c>
      <c r="H8">
        <f t="shared" ref="H8:H22" si="2">G8-740</f>
        <v>-599</v>
      </c>
      <c r="I8">
        <f t="shared" ref="I8:I22" si="3">-10.7-H8/265</f>
        <v>-8.439622641509434</v>
      </c>
      <c r="K8">
        <f t="shared" ref="K8:K22" si="4">10^I8</f>
        <v>3.633936704039918E-9</v>
      </c>
      <c r="M8" s="25">
        <f t="shared" ref="M8:M22" si="5">$N$2*$N$3/B8</f>
        <v>6.6193739999999994E-12</v>
      </c>
      <c r="O8" s="25">
        <f t="shared" ref="O8:O22" si="6">K8/M8*C8</f>
        <v>1646954.849827152</v>
      </c>
      <c r="P8" s="25"/>
      <c r="R8">
        <v>3500</v>
      </c>
      <c r="V8" s="25">
        <f>[1]VegaSpectrum!R12</f>
        <v>562.94528805085656</v>
      </c>
    </row>
    <row r="9" spans="1:25" ht="14.6" x14ac:dyDescent="0.4">
      <c r="B9">
        <f t="shared" si="0"/>
        <v>4.0000000000000003E-5</v>
      </c>
      <c r="C9">
        <f t="shared" si="1"/>
        <v>4000</v>
      </c>
      <c r="D9">
        <v>400</v>
      </c>
      <c r="E9">
        <v>164</v>
      </c>
      <c r="G9">
        <v>47</v>
      </c>
      <c r="H9">
        <f t="shared" si="2"/>
        <v>-693</v>
      </c>
      <c r="I9">
        <f t="shared" si="3"/>
        <v>-8.0849056603773573</v>
      </c>
      <c r="K9">
        <f t="shared" si="4"/>
        <v>8.2242128101478581E-9</v>
      </c>
      <c r="M9" s="25">
        <f t="shared" si="5"/>
        <v>4.9645304999999995E-12</v>
      </c>
      <c r="O9" s="25">
        <f t="shared" si="6"/>
        <v>6626377.1046610419</v>
      </c>
      <c r="P9" s="55"/>
      <c r="R9">
        <v>4000</v>
      </c>
      <c r="T9" s="25">
        <f>$O$9</f>
        <v>6626377.1046610419</v>
      </c>
      <c r="V9" s="25">
        <f>[1]VegaSpectrum!R13</f>
        <v>896.02569064131046</v>
      </c>
    </row>
    <row r="10" spans="1:25" x14ac:dyDescent="0.3">
      <c r="B10">
        <f t="shared" si="0"/>
        <v>5.0000000000000002E-5</v>
      </c>
      <c r="C10">
        <f t="shared" si="1"/>
        <v>5000</v>
      </c>
      <c r="D10">
        <v>500</v>
      </c>
      <c r="E10">
        <v>186</v>
      </c>
      <c r="G10">
        <v>114</v>
      </c>
      <c r="H10">
        <f t="shared" si="2"/>
        <v>-626</v>
      </c>
      <c r="I10">
        <f t="shared" si="3"/>
        <v>-8.3377358490566031</v>
      </c>
      <c r="K10">
        <f t="shared" si="4"/>
        <v>4.5947739581143976E-9</v>
      </c>
      <c r="M10" s="25">
        <f t="shared" si="5"/>
        <v>3.9716243999999993E-12</v>
      </c>
      <c r="O10" s="25">
        <f t="shared" si="6"/>
        <v>5784502.1272837361</v>
      </c>
      <c r="P10" s="25"/>
      <c r="R10">
        <v>4500</v>
      </c>
      <c r="V10" s="25">
        <f>[1]VegaSpectrum!R14</f>
        <v>1490.052051383205</v>
      </c>
    </row>
    <row r="11" spans="1:25" x14ac:dyDescent="0.3">
      <c r="B11">
        <f t="shared" si="0"/>
        <v>6.0000000000000002E-5</v>
      </c>
      <c r="C11">
        <f t="shared" si="1"/>
        <v>6000</v>
      </c>
      <c r="D11">
        <v>600</v>
      </c>
      <c r="E11">
        <v>207</v>
      </c>
      <c r="G11">
        <v>175</v>
      </c>
      <c r="H11">
        <f t="shared" si="2"/>
        <v>-565</v>
      </c>
      <c r="I11">
        <f t="shared" si="3"/>
        <v>-8.5679245283018854</v>
      </c>
      <c r="K11">
        <f t="shared" si="4"/>
        <v>2.7044282988437858E-9</v>
      </c>
      <c r="M11" s="25">
        <f t="shared" si="5"/>
        <v>3.3096869999999997E-12</v>
      </c>
      <c r="O11" s="25">
        <f t="shared" si="6"/>
        <v>4902750.5601172308</v>
      </c>
      <c r="P11" s="25"/>
      <c r="R11">
        <v>5000</v>
      </c>
      <c r="T11" s="25">
        <f>$O$10</f>
        <v>5784502.1272837361</v>
      </c>
      <c r="V11" s="25">
        <f>[1]VegaSpectrum!R15</f>
        <v>1262.7682105599361</v>
      </c>
      <c r="Y11" t="s">
        <v>195</v>
      </c>
    </row>
    <row r="12" spans="1:25" x14ac:dyDescent="0.3">
      <c r="B12">
        <f t="shared" si="0"/>
        <v>6.9999999999999994E-5</v>
      </c>
      <c r="C12">
        <f t="shared" si="1"/>
        <v>7000</v>
      </c>
      <c r="D12">
        <v>700</v>
      </c>
      <c r="E12">
        <v>229</v>
      </c>
      <c r="G12">
        <v>226</v>
      </c>
      <c r="H12">
        <f t="shared" si="2"/>
        <v>-514</v>
      </c>
      <c r="I12">
        <f t="shared" si="3"/>
        <v>-8.7603773584905653</v>
      </c>
      <c r="K12">
        <f t="shared" si="4"/>
        <v>1.7362915093670839E-9</v>
      </c>
      <c r="M12" s="25">
        <f t="shared" si="5"/>
        <v>2.8368745714285714E-12</v>
      </c>
      <c r="O12" s="25">
        <f t="shared" si="6"/>
        <v>4284306.6408287305</v>
      </c>
      <c r="P12" s="25"/>
      <c r="R12">
        <v>5500</v>
      </c>
      <c r="V12" s="25">
        <f>[1]VegaSpectrum!R16</f>
        <v>1078.9670744984048</v>
      </c>
      <c r="X12" s="25">
        <v>34350000</v>
      </c>
      <c r="Y12">
        <v>0.16</v>
      </c>
    </row>
    <row r="13" spans="1:25" x14ac:dyDescent="0.3">
      <c r="B13">
        <f t="shared" si="0"/>
        <v>8.0000000000000007E-5</v>
      </c>
      <c r="C13">
        <f t="shared" si="1"/>
        <v>8000</v>
      </c>
      <c r="D13">
        <v>800</v>
      </c>
      <c r="E13">
        <v>251</v>
      </c>
      <c r="G13">
        <v>276</v>
      </c>
      <c r="H13">
        <f t="shared" si="2"/>
        <v>-464</v>
      </c>
      <c r="I13">
        <f t="shared" si="3"/>
        <v>-8.9490566037735846</v>
      </c>
      <c r="K13">
        <f t="shared" si="4"/>
        <v>1.1244584081232602E-9</v>
      </c>
      <c r="M13" s="25">
        <f t="shared" si="5"/>
        <v>2.4822652499999998E-12</v>
      </c>
      <c r="O13" s="25">
        <f t="shared" si="6"/>
        <v>3623975.0224058782</v>
      </c>
      <c r="P13" s="25"/>
      <c r="R13">
        <v>6000</v>
      </c>
      <c r="T13" s="25">
        <f>$O$11</f>
        <v>4902750.5601172308</v>
      </c>
      <c r="V13" s="25">
        <f>[1]VegaSpectrum!R17</f>
        <v>899.09697487376991</v>
      </c>
    </row>
    <row r="14" spans="1:25" x14ac:dyDescent="0.3">
      <c r="B14">
        <f t="shared" si="0"/>
        <v>9.0000000000000006E-5</v>
      </c>
      <c r="C14">
        <f t="shared" si="1"/>
        <v>9000</v>
      </c>
      <c r="D14">
        <v>900</v>
      </c>
      <c r="E14">
        <v>273</v>
      </c>
      <c r="G14">
        <v>315</v>
      </c>
      <c r="H14">
        <f t="shared" si="2"/>
        <v>-425</v>
      </c>
      <c r="I14">
        <f t="shared" si="3"/>
        <v>-9.096226415094339</v>
      </c>
      <c r="K14">
        <f t="shared" si="4"/>
        <v>8.0126022545651524E-10</v>
      </c>
      <c r="M14" s="25">
        <f t="shared" si="5"/>
        <v>2.2064579999999999E-12</v>
      </c>
      <c r="O14" s="25">
        <f t="shared" si="6"/>
        <v>3268288.8272102335</v>
      </c>
      <c r="R14">
        <v>6500</v>
      </c>
      <c r="V14" s="25">
        <f>[1]VegaSpectrum!R18</f>
        <v>757.31318438297831</v>
      </c>
    </row>
    <row r="15" spans="1:25" x14ac:dyDescent="0.3">
      <c r="B15">
        <f>D15/10000000</f>
        <v>1E-4</v>
      </c>
      <c r="C15">
        <f t="shared" si="1"/>
        <v>10000</v>
      </c>
      <c r="D15">
        <v>1000</v>
      </c>
      <c r="E15">
        <v>295</v>
      </c>
      <c r="G15">
        <v>367</v>
      </c>
      <c r="H15">
        <f t="shared" si="2"/>
        <v>-373</v>
      </c>
      <c r="I15">
        <f t="shared" si="3"/>
        <v>-9.2924528301886795</v>
      </c>
      <c r="K15">
        <f t="shared" si="4"/>
        <v>5.0997298400994753E-10</v>
      </c>
      <c r="M15" s="25">
        <f t="shared" si="5"/>
        <v>1.9858121999999997E-12</v>
      </c>
      <c r="O15" s="25">
        <f t="shared" si="6"/>
        <v>2568082.641500277</v>
      </c>
      <c r="R15">
        <v>7000</v>
      </c>
      <c r="T15" s="25">
        <f>$O$12</f>
        <v>4284306.6408287305</v>
      </c>
      <c r="V15" s="25">
        <f>[1]VegaSpectrum!R19</f>
        <v>627.98761665817267</v>
      </c>
    </row>
    <row r="16" spans="1:25" x14ac:dyDescent="0.3">
      <c r="B16">
        <f t="shared" ref="B16:B22" si="7">D16/10000000</f>
        <v>1.2E-4</v>
      </c>
      <c r="C16">
        <f t="shared" si="1"/>
        <v>12000</v>
      </c>
      <c r="D16">
        <v>1200</v>
      </c>
      <c r="E16">
        <v>338</v>
      </c>
      <c r="G16">
        <v>414</v>
      </c>
      <c r="H16">
        <f t="shared" si="2"/>
        <v>-326</v>
      </c>
      <c r="I16">
        <f t="shared" si="3"/>
        <v>-9.469811320754717</v>
      </c>
      <c r="K16">
        <f t="shared" si="4"/>
        <v>3.3899139897129179E-10</v>
      </c>
      <c r="M16" s="25">
        <f t="shared" si="5"/>
        <v>1.6548434999999998E-12</v>
      </c>
      <c r="O16" s="25">
        <f t="shared" si="6"/>
        <v>2458176.1282293475</v>
      </c>
      <c r="R16">
        <v>7500</v>
      </c>
      <c r="V16" s="25">
        <f>[1]VegaSpectrum!R20</f>
        <v>555.34728957000743</v>
      </c>
    </row>
    <row r="17" spans="2:22" x14ac:dyDescent="0.3">
      <c r="B17">
        <f t="shared" si="7"/>
        <v>1.3999999999999999E-4</v>
      </c>
      <c r="C17">
        <f t="shared" si="1"/>
        <v>14000</v>
      </c>
      <c r="D17">
        <v>1400</v>
      </c>
      <c r="E17">
        <v>382</v>
      </c>
      <c r="G17">
        <v>478</v>
      </c>
      <c r="H17">
        <f t="shared" si="2"/>
        <v>-262</v>
      </c>
      <c r="I17">
        <f t="shared" si="3"/>
        <v>-9.7113207547169811</v>
      </c>
      <c r="K17">
        <f t="shared" si="4"/>
        <v>1.9439238371412074E-10</v>
      </c>
      <c r="M17" s="25">
        <f t="shared" si="5"/>
        <v>1.4184372857142857E-12</v>
      </c>
      <c r="O17" s="25">
        <f t="shared" si="6"/>
        <v>1918656.1150126716</v>
      </c>
      <c r="R17">
        <v>8000</v>
      </c>
      <c r="T17" s="25">
        <f>$O$13</f>
        <v>3623975.0224058782</v>
      </c>
      <c r="V17" s="25">
        <f>[1]VegaSpectrum!R21</f>
        <v>480.85477022750251</v>
      </c>
    </row>
    <row r="18" spans="2:22" x14ac:dyDescent="0.3">
      <c r="B18">
        <f t="shared" si="7"/>
        <v>1.6000000000000001E-4</v>
      </c>
      <c r="C18">
        <f t="shared" si="1"/>
        <v>16000</v>
      </c>
      <c r="D18">
        <v>1600</v>
      </c>
      <c r="E18">
        <v>425</v>
      </c>
      <c r="G18">
        <v>529</v>
      </c>
      <c r="H18">
        <f t="shared" si="2"/>
        <v>-211</v>
      </c>
      <c r="I18">
        <f t="shared" si="3"/>
        <v>-9.9037735849056592</v>
      </c>
      <c r="K18">
        <f t="shared" si="4"/>
        <v>1.2480339947365463E-10</v>
      </c>
      <c r="M18" s="25">
        <f t="shared" si="5"/>
        <v>1.2411326249999999E-12</v>
      </c>
      <c r="O18" s="25">
        <f t="shared" si="6"/>
        <v>1608896.8667457872</v>
      </c>
      <c r="R18">
        <v>8500</v>
      </c>
      <c r="V18" s="25">
        <f>[1]VegaSpectrum!R22</f>
        <v>417.09704400985538</v>
      </c>
    </row>
    <row r="19" spans="2:22" x14ac:dyDescent="0.3">
      <c r="B19">
        <f t="shared" si="7"/>
        <v>1.8000000000000001E-4</v>
      </c>
      <c r="C19">
        <f t="shared" si="1"/>
        <v>18000</v>
      </c>
      <c r="D19">
        <v>1800</v>
      </c>
      <c r="E19">
        <v>469</v>
      </c>
      <c r="G19">
        <v>577</v>
      </c>
      <c r="H19">
        <f t="shared" si="2"/>
        <v>-163</v>
      </c>
      <c r="I19">
        <f t="shared" si="3"/>
        <v>-10.084905660377357</v>
      </c>
      <c r="K19">
        <f t="shared" si="4"/>
        <v>8.2242128101478394E-11</v>
      </c>
      <c r="M19" s="25">
        <f t="shared" si="5"/>
        <v>1.103229E-12</v>
      </c>
      <c r="O19" s="25">
        <f t="shared" si="6"/>
        <v>1341841.363693858</v>
      </c>
      <c r="R19">
        <v>9000</v>
      </c>
      <c r="T19" s="25">
        <f>$O$14</f>
        <v>3268288.8272102335</v>
      </c>
      <c r="V19" s="25">
        <f>[1]VegaSpectrum!R23</f>
        <v>382.74761335096343</v>
      </c>
    </row>
    <row r="20" spans="2:22" x14ac:dyDescent="0.3">
      <c r="B20">
        <f t="shared" si="7"/>
        <v>2.0000000000000001E-4</v>
      </c>
      <c r="C20">
        <f t="shared" si="1"/>
        <v>20000</v>
      </c>
      <c r="D20">
        <v>2000</v>
      </c>
      <c r="E20">
        <v>513</v>
      </c>
      <c r="G20">
        <v>623</v>
      </c>
      <c r="H20">
        <f t="shared" si="2"/>
        <v>-117</v>
      </c>
      <c r="I20">
        <f t="shared" si="3"/>
        <v>-10.258490566037736</v>
      </c>
      <c r="K20">
        <f t="shared" si="4"/>
        <v>5.5145418121557102E-11</v>
      </c>
      <c r="M20" s="25">
        <f t="shared" si="5"/>
        <v>9.9290609999999983E-13</v>
      </c>
      <c r="O20" s="25">
        <f t="shared" si="6"/>
        <v>1110788.1827205436</v>
      </c>
      <c r="R20">
        <v>9500</v>
      </c>
      <c r="V20" s="25">
        <f>[1]VegaSpectrum!R24</f>
        <v>368.44843887962054</v>
      </c>
    </row>
    <row r="21" spans="2:22" x14ac:dyDescent="0.3">
      <c r="B21">
        <f t="shared" si="7"/>
        <v>2.2000000000000001E-4</v>
      </c>
      <c r="C21">
        <f t="shared" si="1"/>
        <v>22000</v>
      </c>
      <c r="D21">
        <v>2200</v>
      </c>
      <c r="E21">
        <v>556</v>
      </c>
      <c r="G21">
        <v>663</v>
      </c>
      <c r="H21">
        <f t="shared" si="2"/>
        <v>-77</v>
      </c>
      <c r="I21">
        <f t="shared" si="3"/>
        <v>-10.409433962264151</v>
      </c>
      <c r="K21">
        <f t="shared" si="4"/>
        <v>3.8955253758774243E-11</v>
      </c>
      <c r="M21" s="25">
        <f t="shared" si="5"/>
        <v>9.0264190909090907E-13</v>
      </c>
      <c r="O21" s="25">
        <f t="shared" si="6"/>
        <v>949452.46178096463</v>
      </c>
      <c r="R21">
        <v>10000</v>
      </c>
      <c r="T21" s="25">
        <f t="shared" ref="T21:T28" si="8">O15</f>
        <v>2568082.641500277</v>
      </c>
      <c r="V21" s="25">
        <f>[1]VegaSpectrum!R25</f>
        <v>333.66111338758708</v>
      </c>
    </row>
    <row r="22" spans="2:22" x14ac:dyDescent="0.3">
      <c r="B22">
        <f t="shared" si="7"/>
        <v>2.5000000000000001E-4</v>
      </c>
      <c r="C22">
        <f t="shared" si="1"/>
        <v>25000</v>
      </c>
      <c r="D22">
        <v>2500</v>
      </c>
      <c r="E22">
        <v>613</v>
      </c>
      <c r="G22">
        <v>721</v>
      </c>
      <c r="H22">
        <f t="shared" si="2"/>
        <v>-19</v>
      </c>
      <c r="I22">
        <f t="shared" si="3"/>
        <v>-10.628301886792451</v>
      </c>
      <c r="K22">
        <f t="shared" si="4"/>
        <v>2.3534128108101766E-11</v>
      </c>
      <c r="M22" s="25">
        <f t="shared" si="5"/>
        <v>7.9432487999999992E-13</v>
      </c>
      <c r="O22" s="25">
        <f t="shared" si="6"/>
        <v>740695.92620911507</v>
      </c>
      <c r="R22">
        <v>12000</v>
      </c>
      <c r="T22" s="25">
        <f t="shared" si="8"/>
        <v>2458176.1282293475</v>
      </c>
      <c r="V22" s="25">
        <f>[1]VegaSpectrum!R26</f>
        <v>295.64255721758434</v>
      </c>
    </row>
    <row r="23" spans="2:22" x14ac:dyDescent="0.3">
      <c r="R23">
        <v>14000</v>
      </c>
      <c r="T23" s="25">
        <f t="shared" si="8"/>
        <v>1918656.1150126716</v>
      </c>
      <c r="V23" s="25">
        <f>[1]VegaSpectrum!R27</f>
        <v>262.78524724973437</v>
      </c>
    </row>
    <row r="24" spans="2:22" x14ac:dyDescent="0.3">
      <c r="R24">
        <v>16000</v>
      </c>
      <c r="T24" s="25">
        <f t="shared" si="8"/>
        <v>1608896.8667457872</v>
      </c>
      <c r="V24" s="25">
        <f>[1]VegaSpectrum!R28</f>
        <v>240.86429548592065</v>
      </c>
    </row>
    <row r="25" spans="2:22" x14ac:dyDescent="0.3">
      <c r="D25" t="s">
        <v>196</v>
      </c>
      <c r="E25" t="s">
        <v>190</v>
      </c>
      <c r="F25" t="s">
        <v>197</v>
      </c>
      <c r="G25" t="s">
        <v>191</v>
      </c>
      <c r="K25" t="s">
        <v>28</v>
      </c>
      <c r="L25" t="s">
        <v>139</v>
      </c>
      <c r="M25" t="s">
        <v>198</v>
      </c>
      <c r="N25" t="s">
        <v>199</v>
      </c>
      <c r="O25" t="s">
        <v>200</v>
      </c>
      <c r="R25">
        <v>18000</v>
      </c>
      <c r="T25" s="25">
        <f t="shared" si="8"/>
        <v>1341841.363693858</v>
      </c>
      <c r="V25" s="25">
        <f>[1]VegaSpectrum!R29</f>
        <v>216.08705625012561</v>
      </c>
    </row>
    <row r="26" spans="2:22" x14ac:dyDescent="0.3">
      <c r="D26">
        <v>-10.7</v>
      </c>
      <c r="E26">
        <v>740</v>
      </c>
      <c r="F26">
        <f t="shared" ref="F26:F31" si="9">E26-E27</f>
        <v>53</v>
      </c>
      <c r="G26">
        <f>E26-740</f>
        <v>0</v>
      </c>
      <c r="I26">
        <f>-10.7-G26/265</f>
        <v>-10.7</v>
      </c>
      <c r="K26">
        <v>485</v>
      </c>
      <c r="L26" t="s">
        <v>151</v>
      </c>
      <c r="M26">
        <v>0.03</v>
      </c>
      <c r="N26" s="25">
        <v>4.2199999999999999E-9</v>
      </c>
      <c r="O26" s="25">
        <v>4.3400000000000003E-9</v>
      </c>
      <c r="R26">
        <v>20000</v>
      </c>
      <c r="T26" s="25">
        <f t="shared" si="8"/>
        <v>1110788.1827205436</v>
      </c>
      <c r="V26" s="25">
        <f>[1]VegaSpectrum!R30</f>
        <v>194.82039689763377</v>
      </c>
    </row>
    <row r="27" spans="2:22" x14ac:dyDescent="0.3">
      <c r="D27">
        <v>-10.5</v>
      </c>
      <c r="E27">
        <v>687</v>
      </c>
      <c r="F27">
        <f t="shared" si="9"/>
        <v>132</v>
      </c>
      <c r="G27">
        <f t="shared" ref="G27:G32" si="10">E27-740</f>
        <v>-53</v>
      </c>
      <c r="I27">
        <f t="shared" ref="I27:I32" si="11">-10.7-G27/265</f>
        <v>-10.5</v>
      </c>
      <c r="K27">
        <v>831</v>
      </c>
      <c r="L27" t="s">
        <v>152</v>
      </c>
      <c r="M27">
        <v>3.5000000000000003E-2</v>
      </c>
      <c r="N27" s="25">
        <v>6.2000000000000001E-9</v>
      </c>
      <c r="O27" s="25">
        <v>6.4000000000000002E-9</v>
      </c>
      <c r="R27">
        <v>22000</v>
      </c>
      <c r="T27" s="25">
        <f t="shared" si="8"/>
        <v>949452.46178096463</v>
      </c>
      <c r="V27" s="25">
        <f>[1]VegaSpectrum!R31</f>
        <v>171.23576911776371</v>
      </c>
    </row>
    <row r="28" spans="2:22" x14ac:dyDescent="0.3">
      <c r="D28">
        <v>-10</v>
      </c>
      <c r="E28">
        <v>555</v>
      </c>
      <c r="F28">
        <f t="shared" si="9"/>
        <v>133</v>
      </c>
      <c r="G28">
        <f t="shared" si="10"/>
        <v>-185</v>
      </c>
      <c r="I28">
        <f t="shared" si="11"/>
        <v>-10.001886792452829</v>
      </c>
      <c r="K28">
        <v>827</v>
      </c>
      <c r="L28" t="s">
        <v>153</v>
      </c>
      <c r="M28">
        <v>3.5000000000000003E-2</v>
      </c>
      <c r="N28" s="25">
        <v>3.5499999999999999E-9</v>
      </c>
      <c r="O28" s="25">
        <v>3.6699999999999999E-9</v>
      </c>
      <c r="R28">
        <v>25000</v>
      </c>
      <c r="T28" s="25">
        <f t="shared" si="8"/>
        <v>740695.92620911507</v>
      </c>
      <c r="V28" s="25">
        <f>[1]VegaSpectrum!R32</f>
        <v>152.25307672707606</v>
      </c>
    </row>
    <row r="29" spans="2:22" x14ac:dyDescent="0.3">
      <c r="D29">
        <v>-9.5</v>
      </c>
      <c r="E29">
        <v>422</v>
      </c>
      <c r="F29">
        <f t="shared" si="9"/>
        <v>132</v>
      </c>
      <c r="G29">
        <f t="shared" si="10"/>
        <v>-318</v>
      </c>
      <c r="I29">
        <f t="shared" si="11"/>
        <v>-9.5</v>
      </c>
      <c r="K29">
        <v>1742</v>
      </c>
      <c r="L29" t="s">
        <v>154</v>
      </c>
      <c r="M29">
        <v>7.4999999999999997E-2</v>
      </c>
      <c r="N29" s="25">
        <v>1.7949999999999999E-9</v>
      </c>
      <c r="O29" s="25">
        <v>1.92E-9</v>
      </c>
    </row>
    <row r="30" spans="2:22" x14ac:dyDescent="0.3">
      <c r="D30">
        <v>-9</v>
      </c>
      <c r="E30">
        <v>290</v>
      </c>
      <c r="F30">
        <f t="shared" si="9"/>
        <v>134</v>
      </c>
      <c r="G30">
        <f t="shared" si="10"/>
        <v>-450</v>
      </c>
      <c r="I30">
        <f t="shared" si="11"/>
        <v>-9.0018867924528294</v>
      </c>
      <c r="K30">
        <v>1970</v>
      </c>
      <c r="L30" t="s">
        <v>155</v>
      </c>
      <c r="M30">
        <v>9.5000000000000001E-2</v>
      </c>
      <c r="N30" s="25">
        <v>8.6000000000000003E-10</v>
      </c>
      <c r="O30" s="25">
        <v>9.3899999999999996E-10</v>
      </c>
    </row>
    <row r="31" spans="2:22" x14ac:dyDescent="0.3">
      <c r="D31">
        <v>-8.5</v>
      </c>
      <c r="E31">
        <v>156</v>
      </c>
      <c r="F31">
        <f t="shared" si="9"/>
        <v>132</v>
      </c>
      <c r="G31">
        <f t="shared" si="10"/>
        <v>-584</v>
      </c>
      <c r="I31">
        <f t="shared" si="11"/>
        <v>-8.4962264150943394</v>
      </c>
    </row>
    <row r="32" spans="2:22" x14ac:dyDescent="0.3">
      <c r="D32">
        <v>-8</v>
      </c>
      <c r="E32">
        <v>24</v>
      </c>
      <c r="G32">
        <f t="shared" si="10"/>
        <v>-716</v>
      </c>
      <c r="I32">
        <f t="shared" si="11"/>
        <v>-7.9981132075471688</v>
      </c>
    </row>
    <row r="36" spans="11:15" x14ac:dyDescent="0.3">
      <c r="K36" s="25"/>
      <c r="M36" s="25"/>
      <c r="O36" s="25"/>
    </row>
    <row r="39" spans="11:15" x14ac:dyDescent="0.3">
      <c r="L39" s="25"/>
    </row>
    <row r="40" spans="11:15" x14ac:dyDescent="0.3">
      <c r="L40" s="25"/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8"/>
  <sheetViews>
    <sheetView workbookViewId="0">
      <selection activeCell="X39" sqref="X39"/>
    </sheetView>
  </sheetViews>
  <sheetFormatPr defaultColWidth="9.15234375" defaultRowHeight="12.45" x14ac:dyDescent="0.3"/>
  <cols>
    <col min="1" max="16384" width="9.15234375" style="51"/>
  </cols>
  <sheetData>
    <row r="1" spans="1:25" x14ac:dyDescent="0.3">
      <c r="A1" s="51" t="s">
        <v>201</v>
      </c>
    </row>
    <row r="3" spans="1:25" x14ac:dyDescent="0.3">
      <c r="B3" s="51" t="s">
        <v>202</v>
      </c>
      <c r="C3" s="51" t="s">
        <v>203</v>
      </c>
      <c r="E3" s="51" t="s">
        <v>204</v>
      </c>
    </row>
    <row r="5" spans="1:25" x14ac:dyDescent="0.3">
      <c r="D5" s="51" t="s">
        <v>171</v>
      </c>
      <c r="F5" s="51" t="s">
        <v>205</v>
      </c>
      <c r="H5" s="51" t="s">
        <v>206</v>
      </c>
      <c r="K5" s="51" t="s">
        <v>207</v>
      </c>
      <c r="P5" s="51" t="s">
        <v>207</v>
      </c>
      <c r="Q5" s="51" t="s">
        <v>208</v>
      </c>
      <c r="S5" s="51" t="s">
        <v>209</v>
      </c>
    </row>
    <row r="6" spans="1:25" x14ac:dyDescent="0.3">
      <c r="O6" s="56"/>
      <c r="Y6" s="51" t="s">
        <v>210</v>
      </c>
    </row>
    <row r="7" spans="1:25" x14ac:dyDescent="0.3">
      <c r="D7" s="51">
        <v>385.4</v>
      </c>
      <c r="F7" s="51">
        <v>0.80649999999999999</v>
      </c>
      <c r="O7" s="56"/>
      <c r="S7">
        <v>8209.7207267680024</v>
      </c>
      <c r="Y7" s="51" t="s">
        <v>211</v>
      </c>
    </row>
    <row r="8" spans="1:25" x14ac:dyDescent="0.3">
      <c r="D8" s="51">
        <v>387.8</v>
      </c>
      <c r="F8" s="51">
        <v>0.80649999999999999</v>
      </c>
      <c r="H8" s="51">
        <v>1.9356000000000275</v>
      </c>
      <c r="P8" s="57">
        <v>4000</v>
      </c>
      <c r="Q8" s="51">
        <v>44.99849999999995</v>
      </c>
      <c r="S8" s="51">
        <f>Q8/$S$7</f>
        <v>5.4811243278082775E-3</v>
      </c>
      <c r="U8" s="57">
        <v>4000</v>
      </c>
      <c r="W8" s="51">
        <f>S8</f>
        <v>5.4811243278082775E-3</v>
      </c>
      <c r="Y8" s="51">
        <f>($U$12/U8)^4*W8</f>
        <v>2.7748191909529405E-2</v>
      </c>
    </row>
    <row r="9" spans="1:25" x14ac:dyDescent="0.3">
      <c r="D9" s="51">
        <v>388.9</v>
      </c>
      <c r="F9" s="51">
        <v>0.80649999999999999</v>
      </c>
      <c r="H9" s="51">
        <v>0.88714999999997246</v>
      </c>
      <c r="P9" s="57">
        <v>4500</v>
      </c>
      <c r="Q9" s="51">
        <v>96.238399999999984</v>
      </c>
      <c r="S9" s="51">
        <f t="shared" ref="S9:S29" si="0">Q9/$S$7</f>
        <v>1.1722493761110807E-2</v>
      </c>
      <c r="U9" s="57">
        <v>4500</v>
      </c>
      <c r="W9" s="51">
        <f t="shared" ref="W9:W29" si="1">S9</f>
        <v>1.1722493761110807E-2</v>
      </c>
      <c r="Y9" s="51">
        <f t="shared" ref="Y9:Y11" si="2">($U$12/U9)^4*W9</f>
        <v>3.7048869170918104E-2</v>
      </c>
    </row>
    <row r="10" spans="1:25" x14ac:dyDescent="0.3">
      <c r="D10" s="51">
        <v>390.1</v>
      </c>
      <c r="F10" s="51">
        <v>0.80649999999999999</v>
      </c>
      <c r="H10" s="51">
        <v>0.96780000000003663</v>
      </c>
      <c r="P10" s="58">
        <v>5000</v>
      </c>
      <c r="Q10" s="51">
        <v>73.279399999999839</v>
      </c>
      <c r="S10" s="51">
        <f t="shared" si="0"/>
        <v>8.9259309103013086E-3</v>
      </c>
      <c r="U10" s="58">
        <v>5000</v>
      </c>
      <c r="W10" s="51">
        <f t="shared" si="1"/>
        <v>8.9259309103013086E-3</v>
      </c>
      <c r="Y10" s="51">
        <f t="shared" si="2"/>
        <v>1.8508810335600794E-2</v>
      </c>
    </row>
    <row r="11" spans="1:25" x14ac:dyDescent="0.3">
      <c r="D11" s="51">
        <v>391.3</v>
      </c>
      <c r="F11" s="51">
        <v>0.80649999999999999</v>
      </c>
      <c r="H11" s="51">
        <v>0.96779999999999078</v>
      </c>
      <c r="P11" s="58">
        <v>5500</v>
      </c>
      <c r="Q11" s="51">
        <v>1063.9637000000012</v>
      </c>
      <c r="S11" s="51">
        <f t="shared" si="0"/>
        <v>0.12959803815627011</v>
      </c>
      <c r="U11" s="58">
        <v>5500</v>
      </c>
      <c r="W11" s="51">
        <f t="shared" si="1"/>
        <v>0.12959803815627011</v>
      </c>
      <c r="Y11" s="51">
        <f t="shared" si="2"/>
        <v>0.18354927390263068</v>
      </c>
    </row>
    <row r="12" spans="1:25" x14ac:dyDescent="0.3">
      <c r="D12" s="51">
        <v>393.7</v>
      </c>
      <c r="F12" s="51">
        <v>0.80649999999999999</v>
      </c>
      <c r="H12" s="51">
        <v>1.9355999999999816</v>
      </c>
      <c r="P12" s="59">
        <v>6000</v>
      </c>
      <c r="Q12" s="51">
        <v>1176.1263000000019</v>
      </c>
      <c r="S12" s="51">
        <f t="shared" si="0"/>
        <v>0.1432602081292744</v>
      </c>
      <c r="U12" s="59">
        <v>6000</v>
      </c>
      <c r="W12" s="51">
        <f t="shared" si="1"/>
        <v>0.1432602081292744</v>
      </c>
      <c r="Y12" s="51">
        <f>($U$12/U12)^4*W12</f>
        <v>0.1432602081292744</v>
      </c>
    </row>
    <row r="13" spans="1:25" x14ac:dyDescent="0.3">
      <c r="D13" s="51">
        <v>394.9</v>
      </c>
      <c r="F13" s="51">
        <v>0.80649999999999999</v>
      </c>
      <c r="H13" s="51">
        <v>0.96779999999999078</v>
      </c>
      <c r="P13" s="60">
        <v>6500</v>
      </c>
      <c r="Q13" s="51">
        <v>228.92249999999973</v>
      </c>
      <c r="S13" s="51">
        <f t="shared" si="0"/>
        <v>2.7884322453697132E-2</v>
      </c>
      <c r="U13" s="60">
        <v>6500</v>
      </c>
      <c r="W13" s="51">
        <f t="shared" si="1"/>
        <v>2.7884322453697132E-2</v>
      </c>
      <c r="Y13" s="51">
        <f t="shared" ref="Y13:Y29" si="3">($U$12/U13)^4*W13</f>
        <v>2.0244715185037777E-2</v>
      </c>
    </row>
    <row r="14" spans="1:25" x14ac:dyDescent="0.3">
      <c r="D14" s="51">
        <v>396.1</v>
      </c>
      <c r="F14" s="51">
        <v>0.80649999999999999</v>
      </c>
      <c r="H14" s="51">
        <v>0.96780000000003663</v>
      </c>
      <c r="P14" s="61">
        <v>7000</v>
      </c>
      <c r="Q14" s="51">
        <v>134.20425451200012</v>
      </c>
      <c r="S14" s="51">
        <f t="shared" si="0"/>
        <v>1.6346993884264995E-2</v>
      </c>
      <c r="U14" s="61">
        <v>7000</v>
      </c>
      <c r="W14" s="51">
        <f t="shared" si="1"/>
        <v>1.6346993884264995E-2</v>
      </c>
      <c r="Y14" s="51">
        <f t="shared" si="3"/>
        <v>8.8237001557715244E-3</v>
      </c>
    </row>
    <row r="15" spans="1:25" x14ac:dyDescent="0.3">
      <c r="D15" s="51">
        <v>397.3</v>
      </c>
      <c r="F15" s="51">
        <v>0.80649999999999999</v>
      </c>
      <c r="H15" s="51">
        <v>0.96779999999999078</v>
      </c>
      <c r="P15" s="61">
        <v>7500</v>
      </c>
      <c r="Q15" s="51">
        <v>110.17309377599992</v>
      </c>
      <c r="S15" s="51">
        <f t="shared" si="0"/>
        <v>1.3419834540385492E-2</v>
      </c>
      <c r="U15" s="61">
        <v>7500</v>
      </c>
      <c r="W15" s="51">
        <f t="shared" si="1"/>
        <v>1.3419834540385492E-2</v>
      </c>
      <c r="Y15" s="51">
        <f t="shared" si="3"/>
        <v>5.4967642277419003E-3</v>
      </c>
    </row>
    <row r="16" spans="1:25" x14ac:dyDescent="0.3">
      <c r="D16" s="51">
        <v>398.4</v>
      </c>
      <c r="F16" s="51">
        <v>0.80649999999999999</v>
      </c>
      <c r="H16" s="51">
        <v>0.88714999999997246</v>
      </c>
      <c r="P16" s="62">
        <v>8000</v>
      </c>
      <c r="Q16" s="51">
        <v>212.00582299199991</v>
      </c>
      <c r="S16" s="51">
        <f t="shared" si="0"/>
        <v>2.5823755770491626E-2</v>
      </c>
      <c r="U16" s="62">
        <v>8000</v>
      </c>
      <c r="W16" s="51">
        <f t="shared" si="1"/>
        <v>2.5823755770491626E-2</v>
      </c>
      <c r="Y16" s="51">
        <f t="shared" si="3"/>
        <v>8.1707977242571166E-3</v>
      </c>
    </row>
    <row r="17" spans="4:25" x14ac:dyDescent="0.3">
      <c r="D17" s="51">
        <v>399.6</v>
      </c>
      <c r="F17" s="51">
        <v>0.80649999999999999</v>
      </c>
      <c r="H17" s="51">
        <v>0.96780000000003663</v>
      </c>
      <c r="P17" s="62">
        <v>8500</v>
      </c>
      <c r="Q17" s="51">
        <v>37.20954693599996</v>
      </c>
      <c r="S17" s="51">
        <f t="shared" si="0"/>
        <v>4.5323767000596364E-3</v>
      </c>
      <c r="U17" s="62">
        <v>8500</v>
      </c>
      <c r="W17" s="51">
        <f t="shared" si="1"/>
        <v>4.5323767000596364E-3</v>
      </c>
      <c r="Y17" s="51">
        <f t="shared" si="3"/>
        <v>1.1252662594130416E-3</v>
      </c>
    </row>
    <row r="18" spans="4:25" x14ac:dyDescent="0.3">
      <c r="D18" s="51">
        <v>400.8</v>
      </c>
      <c r="F18" s="51">
        <v>0.80649999999999999</v>
      </c>
      <c r="H18" s="51">
        <v>0.96779999999999078</v>
      </c>
      <c r="P18" s="62">
        <v>9000</v>
      </c>
      <c r="Q18" s="51">
        <v>65.832134808000021</v>
      </c>
      <c r="S18" s="51">
        <f t="shared" si="0"/>
        <v>8.0188031967217445E-3</v>
      </c>
      <c r="U18" s="62">
        <v>9000</v>
      </c>
      <c r="W18" s="51">
        <f t="shared" si="1"/>
        <v>8.0188031967217445E-3</v>
      </c>
      <c r="Y18" s="51">
        <f t="shared" si="3"/>
        <v>1.5839611252783691E-3</v>
      </c>
    </row>
    <row r="19" spans="4:25" x14ac:dyDescent="0.3">
      <c r="D19" s="51">
        <v>402</v>
      </c>
      <c r="F19" s="51">
        <v>0.80649999999999999</v>
      </c>
      <c r="H19" s="51">
        <v>0.96779999999999078</v>
      </c>
      <c r="P19" s="62">
        <v>9500</v>
      </c>
      <c r="Q19" s="51">
        <v>94.04031064800013</v>
      </c>
      <c r="S19" s="51">
        <f t="shared" si="0"/>
        <v>1.1454751480324942E-2</v>
      </c>
      <c r="U19" s="62">
        <v>9500</v>
      </c>
      <c r="W19" s="51">
        <f t="shared" si="1"/>
        <v>1.1454751480324942E-2</v>
      </c>
      <c r="Y19" s="51">
        <f t="shared" si="3"/>
        <v>1.822620503955755E-3</v>
      </c>
    </row>
    <row r="20" spans="4:25" x14ac:dyDescent="0.3">
      <c r="D20" s="51">
        <v>403.2</v>
      </c>
      <c r="F20" s="51">
        <v>1.075</v>
      </c>
      <c r="H20" s="51">
        <v>1.2899999999999878</v>
      </c>
      <c r="P20" s="62">
        <v>10000</v>
      </c>
      <c r="Q20" s="51">
        <v>92.915132543999903</v>
      </c>
      <c r="S20" s="51">
        <f t="shared" si="0"/>
        <v>1.1317697110091425E-2</v>
      </c>
      <c r="U20" s="62">
        <v>10000</v>
      </c>
      <c r="W20" s="51">
        <f t="shared" si="1"/>
        <v>1.1317697110091425E-2</v>
      </c>
      <c r="Y20" s="51">
        <f t="shared" si="3"/>
        <v>1.4667735454678486E-3</v>
      </c>
    </row>
    <row r="21" spans="4:25" x14ac:dyDescent="0.3">
      <c r="D21" s="51">
        <v>404.4</v>
      </c>
      <c r="F21" s="51">
        <v>1.3440000000000001</v>
      </c>
      <c r="H21" s="51">
        <v>1.6127999999999849</v>
      </c>
      <c r="P21" s="62">
        <v>10500</v>
      </c>
      <c r="Q21" s="51">
        <v>175.11971304000002</v>
      </c>
      <c r="S21" s="51">
        <f t="shared" si="0"/>
        <v>2.1330775901915611E-2</v>
      </c>
      <c r="U21" s="62">
        <v>10500</v>
      </c>
      <c r="W21" s="51">
        <f t="shared" si="1"/>
        <v>2.1330775901915611E-2</v>
      </c>
      <c r="Y21" s="51">
        <f t="shared" si="3"/>
        <v>2.2743351232363163E-3</v>
      </c>
    </row>
    <row r="22" spans="4:25" x14ac:dyDescent="0.3">
      <c r="D22" s="51">
        <v>405.6</v>
      </c>
      <c r="F22" s="51">
        <v>1.075</v>
      </c>
      <c r="H22" s="51">
        <v>1.2900000000000489</v>
      </c>
      <c r="P22" s="62">
        <v>11000</v>
      </c>
      <c r="Q22" s="51">
        <v>879.93398568000009</v>
      </c>
      <c r="S22" s="51">
        <f t="shared" si="0"/>
        <v>0.10718196330490914</v>
      </c>
      <c r="U22" s="62">
        <v>11000</v>
      </c>
      <c r="W22" s="51">
        <f t="shared" si="1"/>
        <v>0.10718196330490914</v>
      </c>
      <c r="Y22" s="51">
        <f t="shared" si="3"/>
        <v>9.4875913150168842E-3</v>
      </c>
    </row>
    <row r="23" spans="4:25" x14ac:dyDescent="0.3">
      <c r="D23" s="51">
        <v>406.8</v>
      </c>
      <c r="F23" s="51">
        <v>1.075</v>
      </c>
      <c r="H23" s="51">
        <v>1.2899999999999878</v>
      </c>
      <c r="P23" s="62">
        <v>11500</v>
      </c>
      <c r="Q23" s="51">
        <v>346.23609408000004</v>
      </c>
      <c r="S23" s="51">
        <f t="shared" si="0"/>
        <v>4.2173918651226279E-2</v>
      </c>
      <c r="U23" s="62">
        <v>11500</v>
      </c>
      <c r="W23" s="51">
        <f t="shared" si="1"/>
        <v>4.2173918651226279E-2</v>
      </c>
      <c r="Y23" s="51">
        <f t="shared" si="3"/>
        <v>3.1250545029206872E-3</v>
      </c>
    </row>
    <row r="24" spans="4:25" x14ac:dyDescent="0.3">
      <c r="D24" s="51">
        <v>408</v>
      </c>
      <c r="F24" s="51">
        <v>1.075</v>
      </c>
      <c r="H24" s="51">
        <v>1.2899999999999878</v>
      </c>
      <c r="P24" s="62">
        <v>12000</v>
      </c>
      <c r="Q24" s="51">
        <v>340.11663840000006</v>
      </c>
      <c r="S24" s="51">
        <f t="shared" si="0"/>
        <v>4.1428527195942387E-2</v>
      </c>
      <c r="U24" s="62">
        <v>12000</v>
      </c>
      <c r="W24" s="51">
        <f t="shared" si="1"/>
        <v>4.1428527195942387E-2</v>
      </c>
      <c r="Y24" s="51">
        <f t="shared" si="3"/>
        <v>2.5892829497463992E-3</v>
      </c>
    </row>
    <row r="25" spans="4:25" x14ac:dyDescent="0.3">
      <c r="D25" s="51">
        <v>409.1</v>
      </c>
      <c r="F25" s="51">
        <v>0.80649999999999999</v>
      </c>
      <c r="H25" s="51">
        <v>0.88715000000001831</v>
      </c>
      <c r="P25" s="62">
        <v>12500</v>
      </c>
      <c r="Q25" s="51">
        <v>412.51085232000003</v>
      </c>
      <c r="S25" s="51">
        <f t="shared" si="0"/>
        <v>5.0246636402015231E-2</v>
      </c>
      <c r="U25" s="62">
        <v>12500</v>
      </c>
      <c r="W25" s="51">
        <f t="shared" si="1"/>
        <v>5.0246636402015231E-2</v>
      </c>
      <c r="Y25" s="51">
        <f t="shared" si="3"/>
        <v>2.6673004862264008E-3</v>
      </c>
    </row>
    <row r="26" spans="4:25" x14ac:dyDescent="0.3">
      <c r="D26" s="51">
        <v>410.3</v>
      </c>
      <c r="F26" s="51">
        <v>1.075</v>
      </c>
      <c r="H26" s="51">
        <v>1.2899999999999878</v>
      </c>
      <c r="P26" s="62">
        <v>13000</v>
      </c>
      <c r="Q26" s="51">
        <v>403.81009832000007</v>
      </c>
      <c r="S26" s="51">
        <f t="shared" si="0"/>
        <v>4.9186825198982348E-2</v>
      </c>
      <c r="U26" s="62">
        <v>13000</v>
      </c>
      <c r="W26" s="51">
        <f t="shared" si="1"/>
        <v>4.9186825198982348E-2</v>
      </c>
      <c r="Y26" s="51">
        <f t="shared" si="3"/>
        <v>2.2319290451273117E-3</v>
      </c>
    </row>
    <row r="27" spans="4:25" x14ac:dyDescent="0.3">
      <c r="D27" s="51">
        <v>411.5</v>
      </c>
      <c r="F27" s="51">
        <v>1.075</v>
      </c>
      <c r="H27" s="51">
        <v>1.2899999999999878</v>
      </c>
      <c r="P27" s="62">
        <v>14000</v>
      </c>
      <c r="Q27" s="51">
        <v>872.08424871199975</v>
      </c>
      <c r="S27" s="51">
        <f t="shared" si="0"/>
        <v>0.10622581178292058</v>
      </c>
      <c r="U27" s="62">
        <v>14000</v>
      </c>
      <c r="W27" s="51">
        <f t="shared" si="1"/>
        <v>0.10622581178292058</v>
      </c>
      <c r="Y27" s="51">
        <f t="shared" si="3"/>
        <v>3.5836279693530052E-3</v>
      </c>
    </row>
    <row r="28" spans="4:25" x14ac:dyDescent="0.3">
      <c r="D28" s="51">
        <v>412.7</v>
      </c>
      <c r="F28" s="51">
        <v>0.80649999999999999</v>
      </c>
      <c r="H28" s="51">
        <v>0.96779999999999078</v>
      </c>
      <c r="P28" s="62">
        <v>16000</v>
      </c>
      <c r="Q28" s="51">
        <v>900</v>
      </c>
      <c r="S28" s="51">
        <f t="shared" si="0"/>
        <v>0.10962614076085769</v>
      </c>
      <c r="U28" s="62">
        <v>16000</v>
      </c>
      <c r="W28" s="51">
        <f t="shared" si="1"/>
        <v>0.10962614076085769</v>
      </c>
      <c r="Y28" s="51">
        <f t="shared" si="3"/>
        <v>2.1678997562571958E-3</v>
      </c>
    </row>
    <row r="29" spans="4:25" x14ac:dyDescent="0.3">
      <c r="D29" s="51">
        <v>413.9</v>
      </c>
      <c r="F29" s="51">
        <v>0.80649999999999999</v>
      </c>
      <c r="H29" s="51">
        <v>0.96779999999999078</v>
      </c>
      <c r="P29" s="62">
        <v>18000</v>
      </c>
      <c r="Q29" s="51">
        <v>450</v>
      </c>
      <c r="S29" s="51">
        <f t="shared" si="0"/>
        <v>5.4813070380428847E-2</v>
      </c>
      <c r="U29" s="62">
        <v>18000</v>
      </c>
      <c r="W29" s="51">
        <f t="shared" si="1"/>
        <v>5.4813070380428847E-2</v>
      </c>
      <c r="X29" s="51" t="s">
        <v>212</v>
      </c>
      <c r="Y29" s="51">
        <f t="shared" si="3"/>
        <v>6.7670457259788694E-4</v>
      </c>
    </row>
    <row r="30" spans="4:25" x14ac:dyDescent="0.3">
      <c r="D30" s="51">
        <v>415.1</v>
      </c>
      <c r="F30" s="51">
        <v>0.80649999999999999</v>
      </c>
      <c r="H30" s="51">
        <v>0.96780000000003663</v>
      </c>
    </row>
    <row r="31" spans="4:25" x14ac:dyDescent="0.3">
      <c r="D31" s="51">
        <v>419.8</v>
      </c>
      <c r="F31" s="51">
        <v>0.80649999999999999</v>
      </c>
      <c r="H31" s="51">
        <v>3.7905499999999908</v>
      </c>
    </row>
    <row r="32" spans="4:25" x14ac:dyDescent="0.3">
      <c r="D32" s="51">
        <v>421</v>
      </c>
      <c r="F32" s="51">
        <v>0.80649999999999999</v>
      </c>
      <c r="H32" s="51">
        <v>0.96779999999999078</v>
      </c>
    </row>
    <row r="33" spans="4:8" x14ac:dyDescent="0.3">
      <c r="D33" s="51">
        <v>422.2</v>
      </c>
      <c r="F33" s="51">
        <v>0.80649999999999999</v>
      </c>
      <c r="H33" s="51">
        <v>0.96779999999999078</v>
      </c>
    </row>
    <row r="34" spans="4:8" x14ac:dyDescent="0.3">
      <c r="D34" s="51">
        <v>423.4</v>
      </c>
      <c r="F34" s="51">
        <v>0.80649999999999999</v>
      </c>
      <c r="H34" s="51">
        <v>0.96779999999999078</v>
      </c>
    </row>
    <row r="35" spans="4:8" x14ac:dyDescent="0.3">
      <c r="D35" s="51">
        <v>424.6</v>
      </c>
      <c r="F35" s="51">
        <v>1.075</v>
      </c>
      <c r="H35" s="51">
        <v>1.2900000000000489</v>
      </c>
    </row>
    <row r="36" spans="4:8" x14ac:dyDescent="0.3">
      <c r="D36" s="51">
        <v>425.8</v>
      </c>
      <c r="F36" s="51">
        <v>1.3440000000000001</v>
      </c>
      <c r="H36" s="51">
        <v>1.6127999999999849</v>
      </c>
    </row>
    <row r="37" spans="4:8" x14ac:dyDescent="0.3">
      <c r="D37" s="51">
        <v>427</v>
      </c>
      <c r="F37" s="51">
        <v>2.1509999999999998</v>
      </c>
      <c r="H37" s="51">
        <v>2.5811999999999755</v>
      </c>
    </row>
    <row r="38" spans="4:8" x14ac:dyDescent="0.3">
      <c r="D38" s="51">
        <v>428.2</v>
      </c>
      <c r="F38" s="51">
        <v>2.9569999999999999</v>
      </c>
      <c r="H38" s="51">
        <v>3.5483999999999662</v>
      </c>
    </row>
    <row r="39" spans="4:8" x14ac:dyDescent="0.3">
      <c r="D39" s="51">
        <v>429.3</v>
      </c>
      <c r="F39" s="51">
        <v>2.1509999999999998</v>
      </c>
      <c r="H39" s="51">
        <v>2.3661000000000487</v>
      </c>
    </row>
    <row r="40" spans="4:8" x14ac:dyDescent="0.3">
      <c r="D40" s="51">
        <v>430.5</v>
      </c>
      <c r="F40" s="51">
        <v>1.613</v>
      </c>
      <c r="H40" s="51">
        <v>1.9355999999999816</v>
      </c>
    </row>
    <row r="41" spans="4:8" x14ac:dyDescent="0.3">
      <c r="D41" s="51">
        <v>431.7</v>
      </c>
      <c r="F41" s="51">
        <v>1.3440000000000001</v>
      </c>
      <c r="H41" s="51">
        <v>1.6127999999999849</v>
      </c>
    </row>
    <row r="42" spans="4:8" x14ac:dyDescent="0.3">
      <c r="D42" s="51">
        <v>432.9</v>
      </c>
      <c r="F42" s="51">
        <v>1.3440000000000001</v>
      </c>
      <c r="H42" s="51">
        <v>1.6127999999999849</v>
      </c>
    </row>
    <row r="43" spans="4:8" x14ac:dyDescent="0.3">
      <c r="D43" s="51">
        <v>434.1</v>
      </c>
      <c r="F43" s="51">
        <v>1.075</v>
      </c>
      <c r="H43" s="51">
        <v>1.2900000000000489</v>
      </c>
    </row>
    <row r="44" spans="4:8" x14ac:dyDescent="0.3">
      <c r="D44" s="51">
        <v>435.3</v>
      </c>
      <c r="F44" s="51">
        <v>0.80649999999999999</v>
      </c>
      <c r="H44" s="51">
        <v>0.96779999999999078</v>
      </c>
    </row>
    <row r="45" spans="4:8" x14ac:dyDescent="0.3">
      <c r="D45" s="51">
        <v>436.5</v>
      </c>
      <c r="F45" s="51">
        <v>0.80649999999999999</v>
      </c>
      <c r="H45" s="51">
        <v>0.96779999999999078</v>
      </c>
    </row>
    <row r="46" spans="4:8" x14ac:dyDescent="0.3">
      <c r="D46" s="51">
        <v>437.7</v>
      </c>
      <c r="F46" s="51">
        <v>0.80649999999999999</v>
      </c>
      <c r="H46" s="51">
        <v>0.96779999999999078</v>
      </c>
    </row>
    <row r="47" spans="4:8" x14ac:dyDescent="0.3">
      <c r="D47" s="51">
        <v>438.9</v>
      </c>
      <c r="F47" s="51">
        <v>1.075</v>
      </c>
      <c r="H47" s="51">
        <v>1.2899999999999878</v>
      </c>
    </row>
    <row r="48" spans="4:8" x14ac:dyDescent="0.3">
      <c r="D48" s="51">
        <v>440</v>
      </c>
      <c r="F48" s="51">
        <v>1.075</v>
      </c>
      <c r="H48" s="51">
        <v>1.1825000000000243</v>
      </c>
    </row>
    <row r="49" spans="4:13" x14ac:dyDescent="0.3">
      <c r="D49" s="51">
        <v>441.2</v>
      </c>
      <c r="F49" s="51">
        <v>0.80649999999999999</v>
      </c>
      <c r="H49" s="51">
        <v>0.96779999999999078</v>
      </c>
      <c r="K49" s="51">
        <f>SUM(H18:H49)</f>
        <v>45.96629999999994</v>
      </c>
      <c r="M49" s="51" t="s">
        <v>213</v>
      </c>
    </row>
    <row r="50" spans="4:13" x14ac:dyDescent="0.3">
      <c r="D50" s="51">
        <v>456.7</v>
      </c>
      <c r="F50" s="51">
        <v>0.80649999999999999</v>
      </c>
      <c r="H50" s="51">
        <v>12.50075</v>
      </c>
    </row>
    <row r="51" spans="4:13" x14ac:dyDescent="0.3">
      <c r="D51" s="51">
        <v>460.2</v>
      </c>
      <c r="F51" s="51">
        <v>0.80649999999999999</v>
      </c>
      <c r="H51" s="51">
        <v>2.8227500000000001</v>
      </c>
    </row>
    <row r="52" spans="4:13" x14ac:dyDescent="0.3">
      <c r="D52" s="51">
        <v>462.6</v>
      </c>
      <c r="F52" s="51">
        <v>0.80649999999999999</v>
      </c>
      <c r="H52" s="51">
        <v>1.9356000000000275</v>
      </c>
    </row>
    <row r="53" spans="4:13" x14ac:dyDescent="0.3">
      <c r="D53" s="51">
        <v>466.2</v>
      </c>
      <c r="F53" s="51">
        <v>0.80649999999999999</v>
      </c>
      <c r="H53" s="51">
        <v>2.9033999999999724</v>
      </c>
    </row>
    <row r="54" spans="4:13" x14ac:dyDescent="0.3">
      <c r="D54" s="51">
        <v>467.4</v>
      </c>
      <c r="F54" s="51">
        <v>1.075</v>
      </c>
      <c r="H54" s="51">
        <v>1.2899999999999878</v>
      </c>
    </row>
    <row r="55" spans="4:13" x14ac:dyDescent="0.3">
      <c r="D55" s="51">
        <v>468.6</v>
      </c>
      <c r="F55" s="51">
        <v>1.8819999999999999</v>
      </c>
      <c r="H55" s="51">
        <v>2.2584000000000857</v>
      </c>
    </row>
    <row r="56" spans="4:13" x14ac:dyDescent="0.3">
      <c r="D56" s="51">
        <v>469.7</v>
      </c>
      <c r="F56" s="51">
        <v>5.3760000000000003</v>
      </c>
      <c r="H56" s="51">
        <v>5.9135999999998168</v>
      </c>
    </row>
    <row r="57" spans="4:13" x14ac:dyDescent="0.3">
      <c r="D57" s="51">
        <v>470.9</v>
      </c>
      <c r="F57" s="51">
        <v>11.29</v>
      </c>
      <c r="H57" s="51">
        <v>13.54799999999987</v>
      </c>
    </row>
    <row r="58" spans="4:13" x14ac:dyDescent="0.3">
      <c r="D58" s="51">
        <v>472.1</v>
      </c>
      <c r="F58" s="51">
        <v>8.6020000000000003</v>
      </c>
      <c r="H58" s="51">
        <v>10.322400000000391</v>
      </c>
    </row>
    <row r="59" spans="4:13" x14ac:dyDescent="0.3">
      <c r="D59" s="51">
        <v>473.3</v>
      </c>
      <c r="F59" s="51">
        <v>2.9569999999999999</v>
      </c>
      <c r="H59" s="51">
        <v>3.5483999999999662</v>
      </c>
    </row>
    <row r="60" spans="4:13" x14ac:dyDescent="0.3">
      <c r="D60" s="51">
        <v>474.5</v>
      </c>
      <c r="F60" s="51">
        <v>1.8819999999999999</v>
      </c>
      <c r="H60" s="51">
        <v>2.2583999999999786</v>
      </c>
    </row>
    <row r="61" spans="4:13" x14ac:dyDescent="0.3">
      <c r="D61" s="51">
        <v>475.7</v>
      </c>
      <c r="F61" s="51">
        <v>1.075</v>
      </c>
      <c r="H61" s="51">
        <v>1.2899999999999878</v>
      </c>
    </row>
    <row r="62" spans="4:13" x14ac:dyDescent="0.3">
      <c r="D62" s="51">
        <v>476.9</v>
      </c>
      <c r="F62" s="51">
        <v>0.80649999999999999</v>
      </c>
      <c r="H62" s="51">
        <v>0.96779999999999078</v>
      </c>
    </row>
    <row r="63" spans="4:13" x14ac:dyDescent="0.3">
      <c r="D63" s="51">
        <v>478.1</v>
      </c>
      <c r="F63" s="51">
        <v>0.80649999999999999</v>
      </c>
      <c r="H63" s="51">
        <v>0.96780000000003663</v>
      </c>
    </row>
    <row r="64" spans="4:13" x14ac:dyDescent="0.3">
      <c r="D64" s="51">
        <v>479.3</v>
      </c>
      <c r="F64" s="51">
        <v>0.80649999999999999</v>
      </c>
      <c r="H64" s="51">
        <v>0.96779999999999078</v>
      </c>
    </row>
    <row r="65" spans="4:13" x14ac:dyDescent="0.3">
      <c r="D65" s="51">
        <v>480.4</v>
      </c>
      <c r="F65" s="51">
        <v>0.80649999999999999</v>
      </c>
      <c r="H65" s="51">
        <v>0.88714999999997246</v>
      </c>
    </row>
    <row r="66" spans="4:13" x14ac:dyDescent="0.3">
      <c r="D66" s="51">
        <v>481.6</v>
      </c>
      <c r="F66" s="51">
        <v>0.80649999999999999</v>
      </c>
      <c r="H66" s="51">
        <v>0.96780000000003663</v>
      </c>
    </row>
    <row r="67" spans="4:13" x14ac:dyDescent="0.3">
      <c r="D67" s="51">
        <v>482.8</v>
      </c>
      <c r="F67" s="51">
        <v>0.80649999999999999</v>
      </c>
      <c r="H67" s="51">
        <v>0.96779999999999078</v>
      </c>
    </row>
    <row r="68" spans="4:13" x14ac:dyDescent="0.3">
      <c r="D68" s="51">
        <v>484</v>
      </c>
      <c r="F68" s="51">
        <v>0.80649999999999999</v>
      </c>
      <c r="H68" s="51">
        <v>0.96779999999999078</v>
      </c>
    </row>
    <row r="69" spans="4:13" x14ac:dyDescent="0.3">
      <c r="D69" s="51">
        <v>485.2</v>
      </c>
      <c r="F69" s="51">
        <v>0.80649999999999999</v>
      </c>
      <c r="H69" s="51">
        <v>0.96779999999999078</v>
      </c>
    </row>
    <row r="70" spans="4:13" x14ac:dyDescent="0.3">
      <c r="D70" s="51">
        <v>486.4</v>
      </c>
      <c r="F70" s="51">
        <v>0.80649999999999999</v>
      </c>
      <c r="H70" s="51">
        <v>0.96779999999999078</v>
      </c>
    </row>
    <row r="71" spans="4:13" x14ac:dyDescent="0.3">
      <c r="D71" s="51">
        <v>487.6</v>
      </c>
      <c r="F71" s="51">
        <v>0.80649999999999999</v>
      </c>
      <c r="H71" s="51">
        <v>0.96780000000003663</v>
      </c>
    </row>
    <row r="72" spans="4:13" x14ac:dyDescent="0.3">
      <c r="D72" s="51">
        <v>488.8</v>
      </c>
      <c r="F72" s="51">
        <v>0.80649999999999999</v>
      </c>
      <c r="H72" s="51">
        <v>0.96779999999999078</v>
      </c>
    </row>
    <row r="73" spans="4:13" x14ac:dyDescent="0.3">
      <c r="D73" s="51">
        <v>491.1</v>
      </c>
      <c r="F73" s="51">
        <v>0.80649999999999999</v>
      </c>
      <c r="H73" s="51">
        <v>1.8549500000000092</v>
      </c>
    </row>
    <row r="74" spans="4:13" x14ac:dyDescent="0.3">
      <c r="D74" s="51">
        <v>492.3</v>
      </c>
      <c r="F74" s="51">
        <v>0.80649999999999999</v>
      </c>
      <c r="H74" s="51">
        <v>0.96779999999999078</v>
      </c>
    </row>
    <row r="75" spans="4:13" x14ac:dyDescent="0.3">
      <c r="D75" s="51">
        <v>493.5</v>
      </c>
      <c r="F75" s="51">
        <v>4.57</v>
      </c>
      <c r="H75" s="51">
        <v>5.4839999999999485</v>
      </c>
    </row>
    <row r="76" spans="4:13" x14ac:dyDescent="0.3">
      <c r="D76" s="51">
        <v>494.7</v>
      </c>
      <c r="F76" s="51">
        <v>4.3010000000000002</v>
      </c>
      <c r="H76" s="51">
        <v>5.1611999999999512</v>
      </c>
    </row>
    <row r="77" spans="4:13" x14ac:dyDescent="0.3">
      <c r="D77" s="51">
        <v>495.9</v>
      </c>
      <c r="F77" s="51">
        <v>8.0649999999999995</v>
      </c>
      <c r="H77" s="51">
        <v>9.6779999999999085</v>
      </c>
    </row>
    <row r="78" spans="4:13" x14ac:dyDescent="0.3">
      <c r="D78" s="51">
        <v>497.1</v>
      </c>
      <c r="F78" s="51">
        <v>0.80649999999999999</v>
      </c>
      <c r="H78" s="51">
        <v>0.96780000000003663</v>
      </c>
    </row>
    <row r="79" spans="4:13" x14ac:dyDescent="0.3">
      <c r="D79" s="51">
        <v>498.3</v>
      </c>
      <c r="F79" s="51">
        <v>0.80649999999999999</v>
      </c>
      <c r="H79" s="51">
        <v>0.96779999999999078</v>
      </c>
      <c r="K79" s="51">
        <f>SUM(H50:H79)</f>
        <v>96.238399999999984</v>
      </c>
      <c r="M79" s="51" t="s">
        <v>214</v>
      </c>
    </row>
    <row r="80" spans="4:13" x14ac:dyDescent="0.3">
      <c r="D80" s="51">
        <v>512.5</v>
      </c>
      <c r="F80" s="51">
        <v>0.80649999999999999</v>
      </c>
      <c r="H80" s="51">
        <v>11.45229999999999</v>
      </c>
    </row>
    <row r="81" spans="4:8" x14ac:dyDescent="0.3">
      <c r="D81" s="51">
        <v>513.70000000000005</v>
      </c>
      <c r="F81" s="51">
        <v>0.80649999999999999</v>
      </c>
      <c r="H81" s="51">
        <v>0.96780000000003663</v>
      </c>
    </row>
    <row r="82" spans="4:8" x14ac:dyDescent="0.3">
      <c r="D82" s="51">
        <v>514.9</v>
      </c>
      <c r="F82" s="51">
        <v>0.80649999999999999</v>
      </c>
      <c r="H82" s="51">
        <v>0.96779999999994493</v>
      </c>
    </row>
    <row r="83" spans="4:8" x14ac:dyDescent="0.3">
      <c r="D83" s="51">
        <v>516.1</v>
      </c>
      <c r="F83" s="51">
        <v>0.80649999999999999</v>
      </c>
      <c r="H83" s="51">
        <v>0.96780000000003663</v>
      </c>
    </row>
    <row r="84" spans="4:8" x14ac:dyDescent="0.3">
      <c r="D84" s="51">
        <v>517.29999999999995</v>
      </c>
      <c r="F84" s="51">
        <v>0.80649999999999999</v>
      </c>
      <c r="H84" s="51">
        <v>0.96779999999994493</v>
      </c>
    </row>
    <row r="85" spans="4:8" x14ac:dyDescent="0.3">
      <c r="D85" s="51">
        <v>518.5</v>
      </c>
      <c r="F85" s="51">
        <v>0.80649999999999999</v>
      </c>
      <c r="H85" s="51">
        <v>0.96780000000003663</v>
      </c>
    </row>
    <row r="86" spans="4:8" x14ac:dyDescent="0.3">
      <c r="D86" s="51">
        <v>519.70000000000005</v>
      </c>
      <c r="F86" s="51">
        <v>0.80649999999999999</v>
      </c>
      <c r="H86" s="51">
        <v>0.96780000000003663</v>
      </c>
    </row>
    <row r="87" spans="4:8" x14ac:dyDescent="0.3">
      <c r="D87" s="51">
        <v>523.20000000000005</v>
      </c>
      <c r="F87" s="51">
        <v>0.80649999999999999</v>
      </c>
      <c r="H87" s="51">
        <v>2.8227500000000001</v>
      </c>
    </row>
    <row r="88" spans="4:8" x14ac:dyDescent="0.3">
      <c r="D88" s="51">
        <v>524.4</v>
      </c>
      <c r="F88" s="51">
        <v>0.80649999999999999</v>
      </c>
      <c r="H88" s="51">
        <v>0.96779999999994493</v>
      </c>
    </row>
    <row r="89" spans="4:8" x14ac:dyDescent="0.3">
      <c r="D89" s="51">
        <v>525.6</v>
      </c>
      <c r="F89" s="51">
        <v>0.80649999999999999</v>
      </c>
      <c r="H89" s="51">
        <v>0.96780000000003663</v>
      </c>
    </row>
    <row r="90" spans="4:8" x14ac:dyDescent="0.3">
      <c r="D90" s="51">
        <v>526.79999999999995</v>
      </c>
      <c r="F90" s="51">
        <v>0.80649999999999999</v>
      </c>
      <c r="H90" s="51">
        <v>0.96779999999994493</v>
      </c>
    </row>
    <row r="91" spans="4:8" x14ac:dyDescent="0.3">
      <c r="D91" s="51">
        <v>528</v>
      </c>
      <c r="F91" s="51">
        <v>0.80649999999999999</v>
      </c>
      <c r="H91" s="51">
        <v>0.96780000000003663</v>
      </c>
    </row>
    <row r="92" spans="4:8" x14ac:dyDescent="0.3">
      <c r="D92" s="51">
        <v>529.20000000000005</v>
      </c>
      <c r="F92" s="51">
        <v>0.80649999999999999</v>
      </c>
      <c r="H92" s="51">
        <v>0.96780000000003663</v>
      </c>
    </row>
    <row r="93" spans="4:8" x14ac:dyDescent="0.3">
      <c r="D93" s="51">
        <v>530.4</v>
      </c>
      <c r="F93" s="51">
        <v>0.80649999999999999</v>
      </c>
      <c r="H93" s="51">
        <v>0.96779999999994493</v>
      </c>
    </row>
    <row r="94" spans="4:8" x14ac:dyDescent="0.3">
      <c r="D94" s="51">
        <v>531.5</v>
      </c>
      <c r="F94" s="51">
        <v>0.80649999999999999</v>
      </c>
      <c r="H94" s="51">
        <v>0.88715000000001831</v>
      </c>
    </row>
    <row r="95" spans="4:8" x14ac:dyDescent="0.3">
      <c r="D95" s="51">
        <v>532.70000000000005</v>
      </c>
      <c r="F95" s="51">
        <v>0.80649999999999999</v>
      </c>
      <c r="H95" s="51">
        <v>0.96780000000003663</v>
      </c>
    </row>
    <row r="96" spans="4:8" x14ac:dyDescent="0.3">
      <c r="D96" s="51">
        <v>533.9</v>
      </c>
      <c r="F96" s="51">
        <v>0.80649999999999999</v>
      </c>
      <c r="H96" s="51">
        <v>0.96779999999994493</v>
      </c>
    </row>
    <row r="97" spans="4:13" x14ac:dyDescent="0.3">
      <c r="D97" s="51">
        <v>535.1</v>
      </c>
      <c r="F97" s="51">
        <v>1.075</v>
      </c>
      <c r="H97" s="51">
        <v>1.2900000000000489</v>
      </c>
    </row>
    <row r="98" spans="4:13" x14ac:dyDescent="0.3">
      <c r="D98" s="51">
        <v>536.29999999999995</v>
      </c>
      <c r="F98" s="51">
        <v>1.8819999999999999</v>
      </c>
      <c r="H98" s="51">
        <v>2.2583999999998716</v>
      </c>
    </row>
    <row r="99" spans="4:13" x14ac:dyDescent="0.3">
      <c r="D99" s="51">
        <v>537.5</v>
      </c>
      <c r="F99" s="51">
        <v>1.8819999999999999</v>
      </c>
      <c r="H99" s="51">
        <v>2.2584000000000857</v>
      </c>
    </row>
    <row r="100" spans="4:13" x14ac:dyDescent="0.3">
      <c r="D100" s="51">
        <v>538.70000000000005</v>
      </c>
      <c r="F100" s="51">
        <v>1.3440000000000001</v>
      </c>
      <c r="H100" s="51">
        <v>1.6128000000000613</v>
      </c>
    </row>
    <row r="101" spans="4:13" x14ac:dyDescent="0.3">
      <c r="D101" s="51">
        <v>539.9</v>
      </c>
      <c r="F101" s="51">
        <v>2.1509999999999998</v>
      </c>
      <c r="H101" s="51">
        <v>2.5811999999998529</v>
      </c>
    </row>
    <row r="102" spans="4:13" x14ac:dyDescent="0.3">
      <c r="D102" s="51">
        <v>541</v>
      </c>
      <c r="F102" s="51">
        <v>2.6880000000000002</v>
      </c>
      <c r="H102" s="51">
        <v>2.9568000000000612</v>
      </c>
    </row>
    <row r="103" spans="4:13" x14ac:dyDescent="0.3">
      <c r="D103" s="51">
        <v>542.20000000000005</v>
      </c>
      <c r="F103" s="51">
        <v>2.9569999999999999</v>
      </c>
      <c r="H103" s="51">
        <v>3.5484000000001341</v>
      </c>
    </row>
    <row r="104" spans="4:13" x14ac:dyDescent="0.3">
      <c r="D104" s="51">
        <v>543.4</v>
      </c>
      <c r="F104" s="51">
        <v>3.7629999999999999</v>
      </c>
      <c r="H104" s="51">
        <v>4.5155999999997434</v>
      </c>
    </row>
    <row r="105" spans="4:13" x14ac:dyDescent="0.3">
      <c r="D105" s="51">
        <v>544.6</v>
      </c>
      <c r="F105" s="51">
        <v>4.032</v>
      </c>
      <c r="H105" s="51">
        <v>4.838400000000183</v>
      </c>
    </row>
    <row r="106" spans="4:13" x14ac:dyDescent="0.3">
      <c r="D106" s="51">
        <v>545.79999999999995</v>
      </c>
      <c r="F106" s="51">
        <v>4.032</v>
      </c>
      <c r="H106" s="51">
        <v>4.8383999999997247</v>
      </c>
    </row>
    <row r="107" spans="4:13" x14ac:dyDescent="0.3">
      <c r="D107" s="51">
        <v>547</v>
      </c>
      <c r="F107" s="51">
        <v>4.032</v>
      </c>
      <c r="H107" s="51">
        <v>4.838400000000183</v>
      </c>
    </row>
    <row r="108" spans="4:13" x14ac:dyDescent="0.3">
      <c r="D108" s="51">
        <v>548.20000000000005</v>
      </c>
      <c r="F108" s="51">
        <v>3.7629999999999999</v>
      </c>
      <c r="H108" s="51">
        <v>4.5156000000001706</v>
      </c>
    </row>
    <row r="109" spans="4:13" x14ac:dyDescent="0.3">
      <c r="D109" s="51">
        <v>549.4</v>
      </c>
      <c r="F109" s="51">
        <v>3.7629999999999999</v>
      </c>
      <c r="H109" s="51">
        <v>4.5155999999997434</v>
      </c>
      <c r="K109" s="51">
        <f>SUM(H80:H109)</f>
        <v>73.279399999999839</v>
      </c>
      <c r="M109" s="51" t="s">
        <v>215</v>
      </c>
    </row>
    <row r="110" spans="4:13" x14ac:dyDescent="0.3">
      <c r="D110" s="51">
        <v>550.6</v>
      </c>
      <c r="F110" s="51">
        <v>4.032</v>
      </c>
      <c r="H110" s="51">
        <v>4.838400000000183</v>
      </c>
    </row>
    <row r="111" spans="4:13" x14ac:dyDescent="0.3">
      <c r="D111" s="51">
        <v>551.70000000000005</v>
      </c>
      <c r="F111" s="51">
        <v>4.032</v>
      </c>
      <c r="H111" s="51">
        <v>4.4352000000000915</v>
      </c>
    </row>
    <row r="112" spans="4:13" x14ac:dyDescent="0.3">
      <c r="D112" s="51">
        <v>552.9</v>
      </c>
      <c r="F112" s="51">
        <v>4.032</v>
      </c>
      <c r="H112" s="51">
        <v>4.8383999999997247</v>
      </c>
    </row>
    <row r="113" spans="4:8" x14ac:dyDescent="0.3">
      <c r="D113" s="51">
        <v>554.1</v>
      </c>
      <c r="F113" s="51">
        <v>4.3010000000000002</v>
      </c>
      <c r="H113" s="51">
        <v>5.1612000000001954</v>
      </c>
    </row>
    <row r="114" spans="4:8" x14ac:dyDescent="0.3">
      <c r="D114" s="51">
        <v>555.29999999999995</v>
      </c>
      <c r="F114" s="51">
        <v>4.3010000000000002</v>
      </c>
      <c r="H114" s="51">
        <v>5.1611999999997069</v>
      </c>
    </row>
    <row r="115" spans="4:8" x14ac:dyDescent="0.3">
      <c r="D115" s="51">
        <v>556.5</v>
      </c>
      <c r="F115" s="51">
        <v>4.57</v>
      </c>
      <c r="H115" s="51">
        <v>5.4840000000002078</v>
      </c>
    </row>
    <row r="116" spans="4:8" x14ac:dyDescent="0.3">
      <c r="D116" s="51">
        <v>557.70000000000005</v>
      </c>
      <c r="F116" s="51">
        <v>4.8390000000000004</v>
      </c>
      <c r="H116" s="51">
        <v>5.8068000000002202</v>
      </c>
    </row>
    <row r="117" spans="4:8" x14ac:dyDescent="0.3">
      <c r="D117" s="51">
        <v>558.9</v>
      </c>
      <c r="F117" s="51">
        <v>5.1079999999999997</v>
      </c>
      <c r="H117" s="51">
        <v>6.1295999999996509</v>
      </c>
    </row>
    <row r="118" spans="4:8" x14ac:dyDescent="0.3">
      <c r="D118" s="51">
        <v>560.1</v>
      </c>
      <c r="F118" s="51">
        <v>5.3760000000000003</v>
      </c>
      <c r="H118" s="51">
        <v>6.4512000000002452</v>
      </c>
    </row>
    <row r="119" spans="4:8" x14ac:dyDescent="0.3">
      <c r="D119" s="51">
        <v>561.20000000000005</v>
      </c>
      <c r="F119" s="51">
        <v>5.6449999999999996</v>
      </c>
      <c r="H119" s="51">
        <v>6.2095000000001281</v>
      </c>
    </row>
    <row r="120" spans="4:8" x14ac:dyDescent="0.3">
      <c r="D120" s="51">
        <v>562.4</v>
      </c>
      <c r="F120" s="51">
        <v>6.9889999999999999</v>
      </c>
      <c r="H120" s="51">
        <v>8.3867999999995231</v>
      </c>
    </row>
    <row r="121" spans="4:8" x14ac:dyDescent="0.3">
      <c r="D121" s="51">
        <v>563.6</v>
      </c>
      <c r="F121" s="51">
        <v>9.4090000000000007</v>
      </c>
      <c r="H121" s="51">
        <v>11.290800000000429</v>
      </c>
    </row>
    <row r="122" spans="4:8" x14ac:dyDescent="0.3">
      <c r="D122" s="51">
        <v>564.79999999999995</v>
      </c>
      <c r="F122" s="51">
        <v>18.010000000000002</v>
      </c>
      <c r="H122" s="51">
        <v>21.611999999998773</v>
      </c>
    </row>
    <row r="123" spans="4:8" x14ac:dyDescent="0.3">
      <c r="D123" s="51">
        <v>566</v>
      </c>
      <c r="F123" s="51">
        <v>56.72</v>
      </c>
      <c r="H123" s="51">
        <v>68.064000000002579</v>
      </c>
    </row>
    <row r="124" spans="4:8" x14ac:dyDescent="0.3">
      <c r="D124" s="51">
        <v>567.20000000000005</v>
      </c>
      <c r="F124" s="51">
        <v>99.19</v>
      </c>
      <c r="H124" s="51">
        <v>119.02800000000451</v>
      </c>
    </row>
    <row r="125" spans="4:8" x14ac:dyDescent="0.3">
      <c r="D125" s="51">
        <v>568.4</v>
      </c>
      <c r="F125" s="51">
        <v>73.66</v>
      </c>
      <c r="H125" s="51">
        <v>88.391999999994965</v>
      </c>
    </row>
    <row r="126" spans="4:8" x14ac:dyDescent="0.3">
      <c r="D126" s="51">
        <v>569.6</v>
      </c>
      <c r="F126" s="51">
        <v>44.89</v>
      </c>
      <c r="H126" s="51">
        <v>53.868000000002041</v>
      </c>
    </row>
    <row r="127" spans="4:8" x14ac:dyDescent="0.3">
      <c r="D127" s="51">
        <v>570.79999999999995</v>
      </c>
      <c r="F127" s="51">
        <v>21.77</v>
      </c>
      <c r="H127" s="51">
        <v>26.123999999998514</v>
      </c>
    </row>
    <row r="128" spans="4:8" x14ac:dyDescent="0.3">
      <c r="D128" s="51">
        <v>571.9</v>
      </c>
      <c r="F128" s="51">
        <v>11.29</v>
      </c>
      <c r="H128" s="51">
        <v>12.419000000000256</v>
      </c>
    </row>
    <row r="129" spans="4:8" x14ac:dyDescent="0.3">
      <c r="D129" s="51">
        <v>573.1</v>
      </c>
      <c r="F129" s="51">
        <v>11.02</v>
      </c>
      <c r="H129" s="51">
        <v>13.224000000000501</v>
      </c>
    </row>
    <row r="130" spans="4:8" x14ac:dyDescent="0.3">
      <c r="D130" s="51">
        <v>574.29999999999995</v>
      </c>
      <c r="F130" s="51">
        <v>11.02</v>
      </c>
      <c r="H130" s="51">
        <v>13.223999999999247</v>
      </c>
    </row>
    <row r="131" spans="4:8" x14ac:dyDescent="0.3">
      <c r="D131" s="51">
        <v>575.5</v>
      </c>
      <c r="F131" s="51">
        <v>11.83</v>
      </c>
      <c r="H131" s="51">
        <v>14.196000000000538</v>
      </c>
    </row>
    <row r="132" spans="4:8" x14ac:dyDescent="0.3">
      <c r="D132" s="51">
        <v>576.70000000000005</v>
      </c>
      <c r="F132" s="51">
        <v>14.25</v>
      </c>
      <c r="H132" s="51">
        <v>17.100000000000648</v>
      </c>
    </row>
    <row r="133" spans="4:8" x14ac:dyDescent="0.3">
      <c r="D133" s="51">
        <v>577.9</v>
      </c>
      <c r="F133" s="51">
        <v>15.59</v>
      </c>
      <c r="H133" s="51">
        <v>18.707999999998936</v>
      </c>
    </row>
    <row r="134" spans="4:8" x14ac:dyDescent="0.3">
      <c r="D134" s="51">
        <v>579.1</v>
      </c>
      <c r="F134" s="51">
        <v>16.670000000000002</v>
      </c>
      <c r="H134" s="51">
        <v>20.004000000000762</v>
      </c>
    </row>
    <row r="135" spans="4:8" x14ac:dyDescent="0.3">
      <c r="D135" s="51">
        <v>580.29999999999995</v>
      </c>
      <c r="F135" s="51">
        <v>18.28</v>
      </c>
      <c r="H135" s="51">
        <v>21.935999999998753</v>
      </c>
    </row>
    <row r="136" spans="4:8" x14ac:dyDescent="0.3">
      <c r="D136" s="51">
        <v>581.4</v>
      </c>
      <c r="F136" s="51">
        <v>20.16</v>
      </c>
      <c r="H136" s="51">
        <v>22.17600000000046</v>
      </c>
    </row>
    <row r="137" spans="4:8" x14ac:dyDescent="0.3">
      <c r="D137" s="51">
        <v>582.6</v>
      </c>
      <c r="F137" s="51">
        <v>25.81</v>
      </c>
      <c r="H137" s="51">
        <v>30.972000000001174</v>
      </c>
    </row>
    <row r="138" spans="4:8" x14ac:dyDescent="0.3">
      <c r="D138" s="51">
        <v>583.79999999999995</v>
      </c>
      <c r="F138" s="51">
        <v>27.96</v>
      </c>
      <c r="H138" s="51">
        <v>33.551999999998095</v>
      </c>
    </row>
    <row r="139" spans="4:8" x14ac:dyDescent="0.3">
      <c r="D139" s="51">
        <v>585</v>
      </c>
      <c r="F139" s="51">
        <v>31.18</v>
      </c>
      <c r="H139" s="51">
        <v>37.416000000001418</v>
      </c>
    </row>
    <row r="140" spans="4:8" x14ac:dyDescent="0.3">
      <c r="D140" s="51">
        <v>586.20000000000005</v>
      </c>
      <c r="F140" s="51">
        <v>35.75</v>
      </c>
      <c r="H140" s="51">
        <v>42.900000000001626</v>
      </c>
    </row>
    <row r="141" spans="4:8" x14ac:dyDescent="0.3">
      <c r="D141" s="51">
        <v>587.4</v>
      </c>
      <c r="F141" s="51">
        <v>41.13</v>
      </c>
      <c r="H141" s="51">
        <v>49.355999999997195</v>
      </c>
    </row>
    <row r="142" spans="4:8" x14ac:dyDescent="0.3">
      <c r="D142" s="51">
        <v>588.6</v>
      </c>
      <c r="F142" s="51">
        <v>45.16</v>
      </c>
      <c r="H142" s="51">
        <v>54.192000000002047</v>
      </c>
    </row>
    <row r="143" spans="4:8" x14ac:dyDescent="0.3">
      <c r="D143" s="51">
        <v>589.79999999999995</v>
      </c>
      <c r="F143" s="51">
        <v>47.04</v>
      </c>
      <c r="H143" s="51">
        <v>56.447999999996789</v>
      </c>
    </row>
    <row r="144" spans="4:8" x14ac:dyDescent="0.3">
      <c r="D144" s="51">
        <v>591</v>
      </c>
      <c r="F144" s="51">
        <v>46.77</v>
      </c>
      <c r="H144" s="51">
        <v>56.124000000002134</v>
      </c>
    </row>
    <row r="145" spans="4:13" x14ac:dyDescent="0.3">
      <c r="D145" s="51">
        <v>592.1</v>
      </c>
      <c r="F145" s="51">
        <v>38.44</v>
      </c>
      <c r="H145" s="51">
        <v>42.284000000000873</v>
      </c>
    </row>
    <row r="146" spans="4:13" x14ac:dyDescent="0.3">
      <c r="D146" s="51">
        <v>593.29999999999995</v>
      </c>
      <c r="F146" s="51">
        <v>19.09</v>
      </c>
      <c r="H146" s="51">
        <v>22.907999999998697</v>
      </c>
    </row>
    <row r="147" spans="4:13" x14ac:dyDescent="0.3">
      <c r="D147" s="51">
        <v>594.5</v>
      </c>
      <c r="F147" s="51">
        <v>2.419</v>
      </c>
      <c r="H147" s="51">
        <v>2.9028000000001102</v>
      </c>
    </row>
    <row r="148" spans="4:13" x14ac:dyDescent="0.3">
      <c r="D148" s="51">
        <v>595.70000000000005</v>
      </c>
      <c r="F148" s="51">
        <v>1.075</v>
      </c>
      <c r="H148" s="51">
        <v>1.2900000000000489</v>
      </c>
    </row>
    <row r="149" spans="4:13" x14ac:dyDescent="0.3">
      <c r="D149" s="51">
        <v>596.9</v>
      </c>
      <c r="F149" s="51">
        <v>1.075</v>
      </c>
      <c r="H149" s="51">
        <v>1.2899999999999265</v>
      </c>
    </row>
    <row r="150" spans="4:13" x14ac:dyDescent="0.3">
      <c r="D150" s="51">
        <v>598.1</v>
      </c>
      <c r="F150" s="51">
        <v>5.9139999999999997</v>
      </c>
      <c r="H150" s="51">
        <v>7.0968000000002682</v>
      </c>
    </row>
    <row r="151" spans="4:13" x14ac:dyDescent="0.3">
      <c r="D151" s="51">
        <v>599.29999999999995</v>
      </c>
      <c r="F151" s="51">
        <v>17.47</v>
      </c>
      <c r="H151" s="51">
        <v>20.963999999998808</v>
      </c>
      <c r="K151" s="51">
        <f>SUM(H110:H151)</f>
        <v>1063.9637000000012</v>
      </c>
      <c r="M151" s="51" t="s">
        <v>216</v>
      </c>
    </row>
    <row r="152" spans="4:13" x14ac:dyDescent="0.3">
      <c r="D152" s="51">
        <v>600.5</v>
      </c>
      <c r="F152" s="51">
        <v>33.869999999999997</v>
      </c>
      <c r="H152" s="51">
        <v>40.64400000000154</v>
      </c>
    </row>
    <row r="153" spans="4:13" x14ac:dyDescent="0.3">
      <c r="D153" s="51">
        <v>601.6</v>
      </c>
      <c r="F153" s="51">
        <v>38.979999999999997</v>
      </c>
      <c r="H153" s="51">
        <v>42.878000000000881</v>
      </c>
    </row>
    <row r="154" spans="4:13" x14ac:dyDescent="0.3">
      <c r="D154" s="51">
        <v>602.79999999999995</v>
      </c>
      <c r="F154" s="51">
        <v>42.74</v>
      </c>
      <c r="H154" s="51">
        <v>51.287999999997083</v>
      </c>
    </row>
    <row r="155" spans="4:13" x14ac:dyDescent="0.3">
      <c r="D155" s="51">
        <v>604</v>
      </c>
      <c r="F155" s="51">
        <v>45.43</v>
      </c>
      <c r="H155" s="51">
        <v>54.516000000002066</v>
      </c>
    </row>
    <row r="156" spans="4:13" x14ac:dyDescent="0.3">
      <c r="D156" s="51">
        <v>605.20000000000005</v>
      </c>
      <c r="F156" s="51">
        <v>45.16</v>
      </c>
      <c r="H156" s="51">
        <v>54.192000000002047</v>
      </c>
    </row>
    <row r="157" spans="4:13" x14ac:dyDescent="0.3">
      <c r="D157" s="51">
        <v>606.4</v>
      </c>
      <c r="F157" s="51">
        <v>45.16</v>
      </c>
      <c r="H157" s="51">
        <v>54.191999999996916</v>
      </c>
    </row>
    <row r="158" spans="4:13" x14ac:dyDescent="0.3">
      <c r="D158" s="51">
        <v>607.6</v>
      </c>
      <c r="F158" s="51">
        <v>44.09</v>
      </c>
      <c r="H158" s="51">
        <v>52.908000000002012</v>
      </c>
    </row>
    <row r="159" spans="4:13" x14ac:dyDescent="0.3">
      <c r="D159" s="51">
        <v>608.79999999999995</v>
      </c>
      <c r="F159" s="51">
        <v>41.4</v>
      </c>
      <c r="H159" s="51">
        <v>49.679999999997172</v>
      </c>
    </row>
    <row r="160" spans="4:13" x14ac:dyDescent="0.3">
      <c r="D160" s="51">
        <v>610</v>
      </c>
      <c r="F160" s="51">
        <v>37.630000000000003</v>
      </c>
      <c r="H160" s="51">
        <v>45.156000000001711</v>
      </c>
    </row>
    <row r="161" spans="4:8" x14ac:dyDescent="0.3">
      <c r="D161" s="51">
        <v>611.20000000000005</v>
      </c>
      <c r="F161" s="51">
        <v>36.29</v>
      </c>
      <c r="H161" s="51">
        <v>43.54800000000165</v>
      </c>
    </row>
    <row r="162" spans="4:8" x14ac:dyDescent="0.3">
      <c r="D162" s="51">
        <v>612.29999999999995</v>
      </c>
      <c r="F162" s="51">
        <v>33.6</v>
      </c>
      <c r="H162" s="51">
        <v>36.959999999996946</v>
      </c>
    </row>
    <row r="163" spans="4:8" x14ac:dyDescent="0.3">
      <c r="D163" s="51">
        <v>613.5</v>
      </c>
      <c r="F163" s="51">
        <v>31.99</v>
      </c>
      <c r="H163" s="51">
        <v>38.388000000001455</v>
      </c>
    </row>
    <row r="164" spans="4:8" x14ac:dyDescent="0.3">
      <c r="D164" s="51">
        <v>614.70000000000005</v>
      </c>
      <c r="F164" s="51">
        <v>30.65</v>
      </c>
      <c r="H164" s="51">
        <v>36.780000000001394</v>
      </c>
    </row>
    <row r="165" spans="4:8" x14ac:dyDescent="0.3">
      <c r="D165" s="51">
        <v>615.9</v>
      </c>
      <c r="F165" s="51">
        <v>29.03</v>
      </c>
      <c r="H165" s="51">
        <v>34.835999999998023</v>
      </c>
    </row>
    <row r="166" spans="4:8" x14ac:dyDescent="0.3">
      <c r="D166" s="51">
        <v>617.1</v>
      </c>
      <c r="F166" s="51">
        <v>27.69</v>
      </c>
      <c r="H166" s="51">
        <v>33.228000000001259</v>
      </c>
    </row>
    <row r="167" spans="4:8" x14ac:dyDescent="0.3">
      <c r="D167" s="51">
        <v>618.29999999999995</v>
      </c>
      <c r="F167" s="51">
        <v>25.54</v>
      </c>
      <c r="H167" s="51">
        <v>30.647999999998255</v>
      </c>
    </row>
    <row r="168" spans="4:8" x14ac:dyDescent="0.3">
      <c r="D168" s="51">
        <v>619.5</v>
      </c>
      <c r="F168" s="51">
        <v>22.85</v>
      </c>
      <c r="H168" s="51">
        <v>27.420000000001039</v>
      </c>
    </row>
    <row r="169" spans="4:8" x14ac:dyDescent="0.3">
      <c r="D169" s="51">
        <v>620.70000000000005</v>
      </c>
      <c r="F169" s="51">
        <v>22.04</v>
      </c>
      <c r="H169" s="51">
        <v>26.448000000001002</v>
      </c>
    </row>
    <row r="170" spans="4:8" x14ac:dyDescent="0.3">
      <c r="D170" s="51">
        <v>621.9</v>
      </c>
      <c r="F170" s="51">
        <v>21.24</v>
      </c>
      <c r="H170" s="51">
        <v>25.48799999999855</v>
      </c>
    </row>
    <row r="171" spans="4:8" x14ac:dyDescent="0.3">
      <c r="D171" s="51">
        <v>623</v>
      </c>
      <c r="F171" s="51">
        <v>19.89</v>
      </c>
      <c r="H171" s="51">
        <v>21.879000000000453</v>
      </c>
    </row>
    <row r="172" spans="4:8" x14ac:dyDescent="0.3">
      <c r="D172" s="51">
        <v>624.20000000000005</v>
      </c>
      <c r="F172" s="51">
        <v>18.55</v>
      </c>
      <c r="H172" s="51">
        <v>22.260000000000844</v>
      </c>
    </row>
    <row r="173" spans="4:8" x14ac:dyDescent="0.3">
      <c r="D173" s="51">
        <v>625.4</v>
      </c>
      <c r="F173" s="51">
        <v>17.739999999999998</v>
      </c>
      <c r="H173" s="51">
        <v>21.287999999998789</v>
      </c>
    </row>
    <row r="174" spans="4:8" x14ac:dyDescent="0.3">
      <c r="D174" s="51">
        <v>626.6</v>
      </c>
      <c r="F174" s="51">
        <v>16.670000000000002</v>
      </c>
      <c r="H174" s="51">
        <v>20.004000000000762</v>
      </c>
    </row>
    <row r="175" spans="4:8" x14ac:dyDescent="0.3">
      <c r="D175" s="51">
        <v>627.79999999999995</v>
      </c>
      <c r="F175" s="51">
        <v>15.86</v>
      </c>
      <c r="H175" s="51">
        <v>19.031999999998916</v>
      </c>
    </row>
    <row r="176" spans="4:8" x14ac:dyDescent="0.3">
      <c r="D176" s="51">
        <v>629</v>
      </c>
      <c r="F176" s="51">
        <v>15.05</v>
      </c>
      <c r="H176" s="51">
        <v>18.060000000000684</v>
      </c>
    </row>
    <row r="177" spans="4:8" x14ac:dyDescent="0.3">
      <c r="D177" s="51">
        <v>630.20000000000005</v>
      </c>
      <c r="F177" s="51">
        <v>14.52</v>
      </c>
      <c r="H177" s="51">
        <v>17.42400000000066</v>
      </c>
    </row>
    <row r="178" spans="4:8" x14ac:dyDescent="0.3">
      <c r="D178" s="51">
        <v>631.4</v>
      </c>
      <c r="F178" s="51">
        <v>23.66</v>
      </c>
      <c r="H178" s="51">
        <v>28.391999999998387</v>
      </c>
    </row>
    <row r="179" spans="4:8" x14ac:dyDescent="0.3">
      <c r="D179" s="51">
        <v>632.5</v>
      </c>
      <c r="F179" s="51">
        <v>43.82</v>
      </c>
      <c r="H179" s="51">
        <v>48.202000000001</v>
      </c>
    </row>
    <row r="180" spans="4:8" x14ac:dyDescent="0.3">
      <c r="D180" s="51">
        <v>633.70000000000005</v>
      </c>
      <c r="F180" s="51">
        <v>28.76</v>
      </c>
      <c r="H180" s="51">
        <v>34.512000000001308</v>
      </c>
    </row>
    <row r="181" spans="4:8" x14ac:dyDescent="0.3">
      <c r="D181" s="51">
        <v>634.9</v>
      </c>
      <c r="F181" s="51">
        <v>12.63</v>
      </c>
      <c r="H181" s="51">
        <v>15.155999999999139</v>
      </c>
    </row>
    <row r="182" spans="4:8" x14ac:dyDescent="0.3">
      <c r="D182" s="51">
        <v>636.1</v>
      </c>
      <c r="F182" s="51">
        <v>11.56</v>
      </c>
      <c r="H182" s="51">
        <v>13.872000000000526</v>
      </c>
    </row>
    <row r="183" spans="4:8" x14ac:dyDescent="0.3">
      <c r="D183" s="51">
        <v>637.29999999999995</v>
      </c>
      <c r="F183" s="51">
        <v>10.75</v>
      </c>
      <c r="H183" s="51">
        <v>12.899999999999267</v>
      </c>
    </row>
    <row r="184" spans="4:8" x14ac:dyDescent="0.3">
      <c r="D184" s="51">
        <v>638.5</v>
      </c>
      <c r="F184" s="51">
        <v>10.48</v>
      </c>
      <c r="H184" s="51">
        <v>12.576000000000477</v>
      </c>
    </row>
    <row r="185" spans="4:8" x14ac:dyDescent="0.3">
      <c r="D185" s="51">
        <v>639.70000000000005</v>
      </c>
      <c r="F185" s="51">
        <v>9.9459999999999997</v>
      </c>
      <c r="H185" s="51">
        <v>11.935200000000451</v>
      </c>
    </row>
    <row r="186" spans="4:8" x14ac:dyDescent="0.3">
      <c r="D186" s="51">
        <v>640.9</v>
      </c>
      <c r="F186" s="51">
        <v>9.4090000000000007</v>
      </c>
      <c r="H186" s="51">
        <v>11.29079999999936</v>
      </c>
    </row>
    <row r="187" spans="4:8" x14ac:dyDescent="0.3">
      <c r="D187" s="51">
        <v>642.1</v>
      </c>
      <c r="F187" s="51">
        <v>9.14</v>
      </c>
      <c r="H187" s="51">
        <v>10.968000000000416</v>
      </c>
    </row>
    <row r="188" spans="4:8" x14ac:dyDescent="0.3">
      <c r="D188" s="51">
        <v>643.20000000000005</v>
      </c>
      <c r="F188" s="51">
        <v>8.8710000000000004</v>
      </c>
      <c r="H188" s="51">
        <v>9.7581000000002014</v>
      </c>
    </row>
    <row r="189" spans="4:8" x14ac:dyDescent="0.3">
      <c r="D189" s="51">
        <v>644.4</v>
      </c>
      <c r="F189" s="51">
        <v>8.6020000000000003</v>
      </c>
      <c r="H189" s="51">
        <v>10.322399999999414</v>
      </c>
    </row>
    <row r="190" spans="4:8" x14ac:dyDescent="0.3">
      <c r="D190" s="51">
        <v>645.6</v>
      </c>
      <c r="F190" s="51">
        <v>8.3330000000000002</v>
      </c>
      <c r="H190" s="51">
        <v>9.9996000000003793</v>
      </c>
    </row>
    <row r="191" spans="4:8" x14ac:dyDescent="0.3">
      <c r="D191" s="51">
        <v>646.79999999999995</v>
      </c>
      <c r="F191" s="51">
        <v>7.7960000000000003</v>
      </c>
      <c r="H191" s="51">
        <v>9.3551999999994688</v>
      </c>
    </row>
    <row r="192" spans="4:8" x14ac:dyDescent="0.3">
      <c r="D192" s="51">
        <v>648</v>
      </c>
      <c r="F192" s="51">
        <v>7.7960000000000003</v>
      </c>
      <c r="H192" s="51">
        <v>9.3552000000003552</v>
      </c>
    </row>
    <row r="193" spans="4:13" x14ac:dyDescent="0.3">
      <c r="D193" s="51">
        <v>649.20000000000005</v>
      </c>
      <c r="F193" s="51">
        <v>6.9889999999999999</v>
      </c>
      <c r="H193" s="51">
        <v>8.3868000000003171</v>
      </c>
      <c r="K193" s="51">
        <f>SUM(H152:H193)</f>
        <v>1176.1263000000019</v>
      </c>
      <c r="M193" s="51" t="s">
        <v>217</v>
      </c>
    </row>
    <row r="194" spans="4:13" x14ac:dyDescent="0.3">
      <c r="D194" s="51">
        <v>650.4</v>
      </c>
      <c r="F194" s="51">
        <v>6.9889999999999999</v>
      </c>
      <c r="H194" s="51">
        <v>8.3867999999995231</v>
      </c>
    </row>
    <row r="195" spans="4:13" x14ac:dyDescent="0.3">
      <c r="D195" s="51">
        <v>651.6</v>
      </c>
      <c r="F195" s="51">
        <v>6.9889999999999999</v>
      </c>
      <c r="H195" s="51">
        <v>8.3868000000003171</v>
      </c>
    </row>
    <row r="196" spans="4:13" x14ac:dyDescent="0.3">
      <c r="D196" s="51">
        <v>652.70000000000005</v>
      </c>
      <c r="F196" s="51">
        <v>6.9889999999999999</v>
      </c>
      <c r="H196" s="51">
        <v>7.6879000000001589</v>
      </c>
    </row>
    <row r="197" spans="4:13" x14ac:dyDescent="0.3">
      <c r="D197" s="51">
        <v>653.9</v>
      </c>
      <c r="F197" s="51">
        <v>6.72</v>
      </c>
      <c r="H197" s="51">
        <v>8.0639999999995418</v>
      </c>
    </row>
    <row r="198" spans="4:13" x14ac:dyDescent="0.3">
      <c r="D198" s="51">
        <v>655.1</v>
      </c>
      <c r="F198" s="51">
        <v>6.452</v>
      </c>
      <c r="H198" s="51">
        <v>7.742400000000293</v>
      </c>
    </row>
    <row r="199" spans="4:13" x14ac:dyDescent="0.3">
      <c r="D199" s="51">
        <v>656.3</v>
      </c>
      <c r="F199" s="51">
        <v>6.1829999999999998</v>
      </c>
      <c r="H199" s="51">
        <v>7.4195999999995781</v>
      </c>
    </row>
    <row r="200" spans="4:13" x14ac:dyDescent="0.3">
      <c r="D200" s="51">
        <v>657.5</v>
      </c>
      <c r="F200" s="51">
        <v>6.1829999999999998</v>
      </c>
      <c r="H200" s="51">
        <v>7.4196000000002806</v>
      </c>
    </row>
    <row r="201" spans="4:13" x14ac:dyDescent="0.3">
      <c r="D201" s="51">
        <v>658.7</v>
      </c>
      <c r="F201" s="51">
        <v>5.9139999999999997</v>
      </c>
      <c r="H201" s="51">
        <v>7.0968000000002682</v>
      </c>
    </row>
    <row r="202" spans="4:13" x14ac:dyDescent="0.3">
      <c r="D202" s="51">
        <v>659.9</v>
      </c>
      <c r="F202" s="51">
        <v>5.9139999999999997</v>
      </c>
      <c r="H202" s="51">
        <v>7.0967999999995959</v>
      </c>
    </row>
    <row r="203" spans="4:13" x14ac:dyDescent="0.3">
      <c r="D203" s="51">
        <v>661.1</v>
      </c>
      <c r="F203" s="51">
        <v>5.6449999999999996</v>
      </c>
      <c r="H203" s="51">
        <v>6.7740000000002558</v>
      </c>
    </row>
    <row r="204" spans="4:13" x14ac:dyDescent="0.3">
      <c r="D204" s="51">
        <v>662.3</v>
      </c>
      <c r="F204" s="51">
        <v>5.6449999999999996</v>
      </c>
      <c r="H204" s="51">
        <v>6.7739999999996146</v>
      </c>
    </row>
    <row r="205" spans="4:13" x14ac:dyDescent="0.3">
      <c r="D205" s="51">
        <v>663.4</v>
      </c>
      <c r="F205" s="51">
        <v>5.3760000000000003</v>
      </c>
      <c r="H205" s="51">
        <v>5.9136000000001223</v>
      </c>
    </row>
    <row r="206" spans="4:13" x14ac:dyDescent="0.3">
      <c r="D206" s="51">
        <v>664.6</v>
      </c>
      <c r="F206" s="51">
        <v>5.3760000000000003</v>
      </c>
      <c r="H206" s="51">
        <v>6.4512000000002452</v>
      </c>
    </row>
    <row r="207" spans="4:13" x14ac:dyDescent="0.3">
      <c r="D207" s="51">
        <v>665.8</v>
      </c>
      <c r="F207" s="51">
        <v>5.3760000000000003</v>
      </c>
      <c r="H207" s="51">
        <v>6.4511999999996341</v>
      </c>
    </row>
    <row r="208" spans="4:13" x14ac:dyDescent="0.3">
      <c r="D208" s="51">
        <v>667</v>
      </c>
      <c r="F208" s="51">
        <v>5.1079999999999997</v>
      </c>
      <c r="H208" s="51">
        <v>6.1296000000002318</v>
      </c>
    </row>
    <row r="209" spans="4:8" x14ac:dyDescent="0.3">
      <c r="D209" s="51">
        <v>668.2</v>
      </c>
      <c r="F209" s="51">
        <v>5.1079999999999997</v>
      </c>
      <c r="H209" s="51">
        <v>6.1296000000002318</v>
      </c>
    </row>
    <row r="210" spans="4:8" x14ac:dyDescent="0.3">
      <c r="D210" s="51">
        <v>669.4</v>
      </c>
      <c r="F210" s="51">
        <v>5.1079999999999997</v>
      </c>
      <c r="H210" s="51">
        <v>6.1295999999996509</v>
      </c>
    </row>
    <row r="211" spans="4:8" x14ac:dyDescent="0.3">
      <c r="D211" s="51">
        <v>670.6</v>
      </c>
      <c r="F211" s="51">
        <v>5.1079999999999997</v>
      </c>
      <c r="H211" s="51">
        <v>6.1296000000002318</v>
      </c>
    </row>
    <row r="212" spans="4:8" x14ac:dyDescent="0.3">
      <c r="D212" s="51">
        <v>671.8</v>
      </c>
      <c r="F212" s="51">
        <v>4.57</v>
      </c>
      <c r="H212" s="51">
        <v>5.4839999999996882</v>
      </c>
    </row>
    <row r="213" spans="4:8" x14ac:dyDescent="0.3">
      <c r="D213" s="51">
        <v>672.9</v>
      </c>
      <c r="F213" s="51">
        <v>4.57</v>
      </c>
      <c r="H213" s="51">
        <v>5.0270000000001041</v>
      </c>
    </row>
    <row r="214" spans="4:8" x14ac:dyDescent="0.3">
      <c r="D214" s="51">
        <v>674.1</v>
      </c>
      <c r="F214" s="51">
        <v>4.3010000000000002</v>
      </c>
      <c r="H214" s="51">
        <v>5.1612000000001954</v>
      </c>
    </row>
    <row r="215" spans="4:8" x14ac:dyDescent="0.3">
      <c r="D215" s="51">
        <v>675.3</v>
      </c>
      <c r="F215" s="51">
        <v>4.3010000000000002</v>
      </c>
      <c r="H215" s="51">
        <v>5.1611999999997069</v>
      </c>
    </row>
    <row r="216" spans="4:8" x14ac:dyDescent="0.3">
      <c r="D216" s="51">
        <v>676.5</v>
      </c>
      <c r="F216" s="51">
        <v>4.032</v>
      </c>
      <c r="H216" s="51">
        <v>4.838400000000183</v>
      </c>
    </row>
    <row r="217" spans="4:8" x14ac:dyDescent="0.3">
      <c r="D217" s="51">
        <v>677.7</v>
      </c>
      <c r="F217" s="51">
        <v>4.032</v>
      </c>
      <c r="H217" s="51">
        <v>4.838400000000183</v>
      </c>
    </row>
    <row r="218" spans="4:8" x14ac:dyDescent="0.3">
      <c r="D218" s="51">
        <v>678.9</v>
      </c>
      <c r="F218" s="51">
        <v>3.7629999999999999</v>
      </c>
      <c r="H218" s="51">
        <v>4.5155999999997434</v>
      </c>
    </row>
    <row r="219" spans="4:8" x14ac:dyDescent="0.3">
      <c r="D219" s="51">
        <v>680.1</v>
      </c>
      <c r="F219" s="51">
        <v>3.7629999999999999</v>
      </c>
      <c r="H219" s="51">
        <v>4.5156000000001706</v>
      </c>
    </row>
    <row r="220" spans="4:8" x14ac:dyDescent="0.3">
      <c r="D220" s="51">
        <v>681.3</v>
      </c>
      <c r="F220" s="51">
        <v>3.4950000000000001</v>
      </c>
      <c r="H220" s="51">
        <v>4.1939999999997619</v>
      </c>
    </row>
    <row r="221" spans="4:8" x14ac:dyDescent="0.3">
      <c r="D221" s="51">
        <v>682.5</v>
      </c>
      <c r="F221" s="51">
        <v>3.7629999999999999</v>
      </c>
      <c r="H221" s="51">
        <v>4.5156000000001706</v>
      </c>
    </row>
    <row r="222" spans="4:8" x14ac:dyDescent="0.3">
      <c r="D222" s="51">
        <v>683.6</v>
      </c>
      <c r="F222" s="51">
        <v>3.7629999999999999</v>
      </c>
      <c r="H222" s="51">
        <v>4.1393000000000857</v>
      </c>
    </row>
    <row r="223" spans="4:8" x14ac:dyDescent="0.3">
      <c r="D223" s="51">
        <v>684.8</v>
      </c>
      <c r="F223" s="51">
        <v>3.7629999999999999</v>
      </c>
      <c r="H223" s="51">
        <v>4.5155999999997434</v>
      </c>
    </row>
    <row r="224" spans="4:8" x14ac:dyDescent="0.3">
      <c r="D224" s="51">
        <v>686</v>
      </c>
      <c r="F224" s="51">
        <v>3.4950000000000001</v>
      </c>
      <c r="H224" s="51">
        <v>4.1940000000001589</v>
      </c>
    </row>
    <row r="225" spans="4:13" x14ac:dyDescent="0.3">
      <c r="D225" s="51">
        <v>687.2</v>
      </c>
      <c r="F225" s="51">
        <v>3.7629999999999999</v>
      </c>
      <c r="H225" s="51">
        <v>4.5156000000001706</v>
      </c>
    </row>
    <row r="226" spans="4:13" x14ac:dyDescent="0.3">
      <c r="D226" s="51">
        <v>688.4</v>
      </c>
      <c r="F226" s="51">
        <v>3.7629999999999999</v>
      </c>
      <c r="H226" s="51">
        <v>4.5155999999997434</v>
      </c>
    </row>
    <row r="227" spans="4:13" x14ac:dyDescent="0.3">
      <c r="D227" s="51">
        <v>689.6</v>
      </c>
      <c r="F227" s="51">
        <v>3.4950000000000001</v>
      </c>
      <c r="H227" s="51">
        <v>4.1940000000001589</v>
      </c>
    </row>
    <row r="228" spans="4:13" x14ac:dyDescent="0.3">
      <c r="D228" s="51">
        <v>690.8</v>
      </c>
      <c r="F228" s="51">
        <v>3.4950000000000001</v>
      </c>
      <c r="H228" s="51">
        <v>4.1939999999997619</v>
      </c>
    </row>
    <row r="229" spans="4:13" x14ac:dyDescent="0.3">
      <c r="D229" s="51">
        <v>692</v>
      </c>
      <c r="F229" s="51">
        <v>3.4950000000000001</v>
      </c>
      <c r="H229" s="51">
        <v>4.1940000000001589</v>
      </c>
    </row>
    <row r="230" spans="4:13" x14ac:dyDescent="0.3">
      <c r="D230" s="51">
        <v>693.1</v>
      </c>
      <c r="F230" s="51">
        <v>2.9569999999999999</v>
      </c>
      <c r="H230" s="51">
        <v>3.252700000000067</v>
      </c>
    </row>
    <row r="231" spans="4:13" x14ac:dyDescent="0.3">
      <c r="D231" s="51">
        <v>694.3</v>
      </c>
      <c r="F231" s="51">
        <v>2.9569999999999999</v>
      </c>
      <c r="H231" s="51">
        <v>3.5483999999997979</v>
      </c>
    </row>
    <row r="232" spans="4:13" x14ac:dyDescent="0.3">
      <c r="D232" s="51">
        <v>695.5</v>
      </c>
      <c r="F232" s="51">
        <v>2.9569999999999999</v>
      </c>
      <c r="H232" s="51">
        <v>3.5484000000001341</v>
      </c>
    </row>
    <row r="233" spans="4:13" x14ac:dyDescent="0.3">
      <c r="D233" s="51">
        <v>696.7</v>
      </c>
      <c r="F233" s="51">
        <v>2.6880000000000002</v>
      </c>
      <c r="H233" s="51">
        <v>3.2256000000001226</v>
      </c>
    </row>
    <row r="234" spans="4:13" x14ac:dyDescent="0.3">
      <c r="D234" s="51">
        <v>697.9</v>
      </c>
      <c r="F234" s="51">
        <v>2.6880000000000002</v>
      </c>
      <c r="H234" s="51">
        <v>3.2255999999998171</v>
      </c>
    </row>
    <row r="235" spans="4:13" x14ac:dyDescent="0.3">
      <c r="D235" s="51">
        <v>699.1</v>
      </c>
      <c r="F235" s="51">
        <v>2.6880000000000002</v>
      </c>
      <c r="H235" s="51">
        <v>3.2256000000001226</v>
      </c>
      <c r="K235" s="51">
        <f>SUM(H194:H235)</f>
        <v>228.92249999999973</v>
      </c>
      <c r="M235" s="51" t="s">
        <v>218</v>
      </c>
    </row>
    <row r="236" spans="4:13" x14ac:dyDescent="0.3">
      <c r="D236" s="51">
        <v>700.3</v>
      </c>
      <c r="F236" s="51">
        <v>2.9569999999999999</v>
      </c>
      <c r="H236" s="51">
        <v>3.5483999999997979</v>
      </c>
    </row>
    <row r="237" spans="4:13" x14ac:dyDescent="0.3">
      <c r="D237" s="51">
        <v>701.5</v>
      </c>
      <c r="F237" s="51">
        <v>2.9569999999999999</v>
      </c>
      <c r="H237" s="51">
        <v>3.5484000000001341</v>
      </c>
    </row>
    <row r="238" spans="4:13" x14ac:dyDescent="0.3">
      <c r="D238" s="51">
        <v>702.7</v>
      </c>
      <c r="F238" s="51">
        <v>2.9569999999999999</v>
      </c>
      <c r="H238" s="51">
        <v>3.5484000000001341</v>
      </c>
    </row>
    <row r="239" spans="4:13" x14ac:dyDescent="0.3">
      <c r="D239" s="51">
        <v>703.8</v>
      </c>
      <c r="F239" s="51">
        <v>3.4950000000000001</v>
      </c>
      <c r="H239" s="51">
        <v>3.8444999999996821</v>
      </c>
    </row>
    <row r="240" spans="4:13" x14ac:dyDescent="0.3">
      <c r="D240" s="51">
        <v>705</v>
      </c>
      <c r="F240" s="51">
        <v>3.226</v>
      </c>
      <c r="H240" s="51">
        <v>3.8712000000001465</v>
      </c>
    </row>
    <row r="241" spans="4:13" x14ac:dyDescent="0.3">
      <c r="D241" s="51">
        <v>706.2</v>
      </c>
      <c r="F241" s="51">
        <v>3.4950000000000001</v>
      </c>
      <c r="H241" s="51">
        <v>4.1940000000001589</v>
      </c>
    </row>
    <row r="242" spans="4:13" x14ac:dyDescent="0.3">
      <c r="D242" s="51">
        <v>707.4</v>
      </c>
      <c r="F242" s="51">
        <v>3.4950000000000001</v>
      </c>
      <c r="H242" s="51">
        <v>4.1939999999997619</v>
      </c>
    </row>
    <row r="243" spans="4:13" x14ac:dyDescent="0.3">
      <c r="D243" s="63">
        <v>708.6</v>
      </c>
      <c r="F243" s="51">
        <v>3.4950000000000001</v>
      </c>
      <c r="H243" s="51">
        <v>4.1940000000001589</v>
      </c>
    </row>
    <row r="244" spans="4:13" x14ac:dyDescent="0.3">
      <c r="D244" s="63">
        <v>706.9</v>
      </c>
      <c r="F244" s="51">
        <v>3.4949894399999999</v>
      </c>
      <c r="H244" s="51">
        <v>16.42645036799976</v>
      </c>
    </row>
    <row r="245" spans="4:13" x14ac:dyDescent="0.3">
      <c r="D245" s="51">
        <v>711.6</v>
      </c>
      <c r="F245" s="51">
        <v>3.28112016</v>
      </c>
      <c r="H245" s="51">
        <v>15.421264752000148</v>
      </c>
    </row>
    <row r="246" spans="4:13" x14ac:dyDescent="0.3">
      <c r="D246" s="51">
        <v>716.3</v>
      </c>
      <c r="F246" s="51">
        <v>2.9243131200000003</v>
      </c>
      <c r="H246" s="51">
        <v>13.744271663999802</v>
      </c>
    </row>
    <row r="247" spans="4:13" x14ac:dyDescent="0.3">
      <c r="D247" s="51">
        <v>721</v>
      </c>
      <c r="F247" s="51">
        <v>2.5680434399999998</v>
      </c>
      <c r="H247" s="51">
        <v>12.069804168000116</v>
      </c>
    </row>
    <row r="248" spans="4:13" x14ac:dyDescent="0.3">
      <c r="D248" s="51">
        <v>725.7</v>
      </c>
      <c r="F248" s="51">
        <v>2.49657456</v>
      </c>
      <c r="H248" s="51">
        <v>11.733900432000114</v>
      </c>
    </row>
    <row r="249" spans="4:13" x14ac:dyDescent="0.3">
      <c r="D249" s="51">
        <v>730.4</v>
      </c>
      <c r="F249" s="51">
        <v>2.4251056800000002</v>
      </c>
      <c r="H249" s="51">
        <v>11.397996695999835</v>
      </c>
    </row>
    <row r="250" spans="4:13" x14ac:dyDescent="0.3">
      <c r="D250" s="51">
        <v>735.1</v>
      </c>
      <c r="F250" s="51">
        <v>2.0688360000000001</v>
      </c>
      <c r="H250" s="51">
        <v>9.7235292000000939</v>
      </c>
    </row>
    <row r="251" spans="4:13" x14ac:dyDescent="0.3">
      <c r="D251" s="51">
        <v>739.8</v>
      </c>
      <c r="F251" s="51">
        <v>2.0688360000000001</v>
      </c>
      <c r="H251" s="51">
        <v>9.7235291999998594</v>
      </c>
    </row>
    <row r="252" spans="4:13" x14ac:dyDescent="0.3">
      <c r="D252" s="51">
        <v>744.5</v>
      </c>
      <c r="F252" s="51">
        <v>2.0688360000000001</v>
      </c>
      <c r="H252" s="51">
        <v>9.7235292000000939</v>
      </c>
    </row>
    <row r="253" spans="4:13" x14ac:dyDescent="0.3">
      <c r="D253" s="51">
        <v>749.2</v>
      </c>
      <c r="F253" s="51">
        <v>2.0688360000000001</v>
      </c>
      <c r="H253" s="51">
        <v>9.7235292000000939</v>
      </c>
      <c r="K253" s="51">
        <f>SUM(H236:H253)</f>
        <v>150.63070487999988</v>
      </c>
      <c r="M253" s="51" t="s">
        <v>219</v>
      </c>
    </row>
    <row r="254" spans="4:13" x14ac:dyDescent="0.3">
      <c r="D254" s="51">
        <v>753.9</v>
      </c>
      <c r="F254" s="51">
        <v>1.8544293600000001</v>
      </c>
      <c r="H254" s="51">
        <v>8.7158179919998737</v>
      </c>
    </row>
    <row r="255" spans="4:13" x14ac:dyDescent="0.3">
      <c r="D255" s="51">
        <v>758.6</v>
      </c>
      <c r="F255" s="51">
        <v>1.7834978399999999</v>
      </c>
      <c r="H255" s="51">
        <v>8.3824398480000806</v>
      </c>
    </row>
    <row r="256" spans="4:13" x14ac:dyDescent="0.3">
      <c r="D256" s="51">
        <v>763.3</v>
      </c>
      <c r="F256" s="51">
        <v>1.64056008</v>
      </c>
      <c r="H256" s="51">
        <v>7.7106323759998876</v>
      </c>
    </row>
    <row r="257" spans="4:13" x14ac:dyDescent="0.3">
      <c r="D257" s="51">
        <v>768.1</v>
      </c>
      <c r="F257" s="51">
        <v>5.4219624</v>
      </c>
      <c r="H257" s="51">
        <v>26.025419520000369</v>
      </c>
    </row>
    <row r="258" spans="4:13" x14ac:dyDescent="0.3">
      <c r="D258" s="51">
        <v>772.8</v>
      </c>
      <c r="F258" s="51">
        <v>4.3510039200000001</v>
      </c>
      <c r="H258" s="51">
        <v>20.449718423999705</v>
      </c>
    </row>
    <row r="259" spans="4:13" x14ac:dyDescent="0.3">
      <c r="D259" s="51">
        <v>777.5</v>
      </c>
      <c r="F259" s="51">
        <v>1.7834978399999999</v>
      </c>
      <c r="H259" s="51">
        <v>8.3824398480000806</v>
      </c>
    </row>
    <row r="260" spans="4:13" x14ac:dyDescent="0.3">
      <c r="D260" s="51">
        <v>782.2</v>
      </c>
      <c r="F260" s="51">
        <v>1.64056008</v>
      </c>
      <c r="H260" s="51">
        <v>7.7106323760000741</v>
      </c>
    </row>
    <row r="261" spans="4:13" x14ac:dyDescent="0.3">
      <c r="D261" s="51">
        <v>786.9</v>
      </c>
      <c r="F261" s="51">
        <v>1.5690912000000001</v>
      </c>
      <c r="H261" s="51">
        <v>7.3747286399998933</v>
      </c>
    </row>
    <row r="262" spans="4:13" x14ac:dyDescent="0.3">
      <c r="D262" s="51">
        <v>791.6</v>
      </c>
      <c r="F262" s="51">
        <v>1.64056008</v>
      </c>
      <c r="H262" s="51">
        <v>7.7106323760000741</v>
      </c>
    </row>
    <row r="263" spans="4:13" x14ac:dyDescent="0.3">
      <c r="D263" s="51">
        <v>796.3</v>
      </c>
      <c r="F263" s="51">
        <v>1.64056008</v>
      </c>
      <c r="H263" s="51">
        <v>7.7106323759998876</v>
      </c>
      <c r="K263" s="51">
        <f>SUM(H254:H263)</f>
        <v>110.17309377599992</v>
      </c>
      <c r="M263" s="51" t="s">
        <v>220</v>
      </c>
    </row>
    <row r="264" spans="4:13" x14ac:dyDescent="0.3">
      <c r="D264" s="51">
        <v>801</v>
      </c>
      <c r="F264" s="51">
        <v>1.71202896</v>
      </c>
      <c r="H264" s="51">
        <v>8.0465361120000782</v>
      </c>
    </row>
    <row r="265" spans="4:13" x14ac:dyDescent="0.3">
      <c r="D265" s="51">
        <v>805.7</v>
      </c>
      <c r="F265" s="51">
        <v>1.7834978399999999</v>
      </c>
      <c r="H265" s="51">
        <v>8.3824398480000806</v>
      </c>
    </row>
    <row r="266" spans="4:13" x14ac:dyDescent="0.3">
      <c r="D266" s="51">
        <v>810.4</v>
      </c>
      <c r="F266" s="51">
        <v>1.8544293600000001</v>
      </c>
      <c r="H266" s="51">
        <v>8.7158179919998737</v>
      </c>
    </row>
    <row r="267" spans="4:13" x14ac:dyDescent="0.3">
      <c r="D267" s="51">
        <v>815.1</v>
      </c>
      <c r="F267" s="51">
        <v>2.7819127200000002</v>
      </c>
      <c r="H267" s="51">
        <v>13.074989784000127</v>
      </c>
    </row>
    <row r="268" spans="4:13" x14ac:dyDescent="0.3">
      <c r="D268" s="51">
        <v>819.8</v>
      </c>
      <c r="F268" s="51">
        <v>14.336764800000001</v>
      </c>
      <c r="H268" s="51">
        <v>67.382794559999027</v>
      </c>
    </row>
    <row r="269" spans="4:13" x14ac:dyDescent="0.3">
      <c r="D269" s="51">
        <v>824.5</v>
      </c>
      <c r="F269" s="51">
        <v>13.4823624</v>
      </c>
      <c r="H269" s="51">
        <v>63.367103280000613</v>
      </c>
    </row>
    <row r="270" spans="4:13" x14ac:dyDescent="0.3">
      <c r="D270" s="51">
        <v>829.2</v>
      </c>
      <c r="F270" s="51">
        <v>3.9947342400000001</v>
      </c>
      <c r="H270" s="51">
        <v>18.775250928000183</v>
      </c>
    </row>
    <row r="271" spans="4:13" x14ac:dyDescent="0.3">
      <c r="D271" s="51">
        <v>833.9</v>
      </c>
      <c r="F271" s="51">
        <v>1.8544293600000001</v>
      </c>
      <c r="H271" s="51">
        <v>8.7158179919998737</v>
      </c>
    </row>
    <row r="272" spans="4:13" x14ac:dyDescent="0.3">
      <c r="D272" s="51">
        <v>838.7</v>
      </c>
      <c r="F272" s="51">
        <v>1.2128215199999999</v>
      </c>
      <c r="H272" s="51">
        <v>5.8215432960000824</v>
      </c>
    </row>
    <row r="273" spans="4:13" x14ac:dyDescent="0.3">
      <c r="D273" s="51">
        <v>843.4</v>
      </c>
      <c r="F273" s="51">
        <v>1.14135264</v>
      </c>
      <c r="H273" s="51">
        <v>5.3643574079999219</v>
      </c>
    </row>
    <row r="274" spans="4:13" x14ac:dyDescent="0.3">
      <c r="D274" s="51">
        <v>848.1</v>
      </c>
      <c r="F274" s="51">
        <v>0.92748335999999998</v>
      </c>
      <c r="H274" s="51">
        <v>4.3591717920000423</v>
      </c>
      <c r="K274" s="51">
        <f>SUM(H264:H274)</f>
        <v>212.00582299199991</v>
      </c>
      <c r="M274" s="51" t="s">
        <v>221</v>
      </c>
    </row>
    <row r="275" spans="4:13" x14ac:dyDescent="0.3">
      <c r="D275" s="51">
        <v>852.8</v>
      </c>
      <c r="F275" s="51">
        <v>0.85601448000000002</v>
      </c>
      <c r="H275" s="51">
        <v>4.0232680559999414</v>
      </c>
    </row>
    <row r="276" spans="4:13" x14ac:dyDescent="0.3">
      <c r="D276" s="51">
        <v>857.5</v>
      </c>
      <c r="F276" s="51">
        <v>0.78454560000000007</v>
      </c>
      <c r="H276" s="51">
        <v>3.6873643200000359</v>
      </c>
    </row>
    <row r="277" spans="4:13" x14ac:dyDescent="0.3">
      <c r="D277" s="51">
        <v>862.2</v>
      </c>
      <c r="F277" s="51">
        <v>0.78454560000000007</v>
      </c>
      <c r="H277" s="51">
        <v>3.6873643200000359</v>
      </c>
    </row>
    <row r="278" spans="4:13" x14ac:dyDescent="0.3">
      <c r="D278" s="51">
        <v>866.9</v>
      </c>
      <c r="F278" s="51">
        <v>0.71307672</v>
      </c>
      <c r="H278" s="51">
        <v>3.3514605839999514</v>
      </c>
    </row>
    <row r="279" spans="4:13" x14ac:dyDescent="0.3">
      <c r="D279" s="51">
        <v>871.6</v>
      </c>
      <c r="F279" s="51">
        <v>0.71307672</v>
      </c>
      <c r="H279" s="51">
        <v>3.3514605840000322</v>
      </c>
    </row>
    <row r="280" spans="4:13" x14ac:dyDescent="0.3">
      <c r="D280" s="51">
        <v>876.3</v>
      </c>
      <c r="F280" s="51">
        <v>0.71307672</v>
      </c>
      <c r="H280" s="51">
        <v>3.3514605839999514</v>
      </c>
    </row>
    <row r="281" spans="4:13" x14ac:dyDescent="0.3">
      <c r="D281" s="51">
        <v>881</v>
      </c>
      <c r="F281" s="51">
        <v>0.71307672</v>
      </c>
      <c r="H281" s="51">
        <v>3.3514605840000322</v>
      </c>
    </row>
    <row r="282" spans="4:13" x14ac:dyDescent="0.3">
      <c r="D282" s="51">
        <v>885.7</v>
      </c>
      <c r="F282" s="51">
        <v>0.71307672</v>
      </c>
      <c r="H282" s="51">
        <v>3.3514605840000322</v>
      </c>
    </row>
    <row r="283" spans="4:13" x14ac:dyDescent="0.3">
      <c r="D283" s="51">
        <v>890.4</v>
      </c>
      <c r="F283" s="51">
        <v>0.64214519999999997</v>
      </c>
      <c r="H283" s="51">
        <v>3.0180824399999562</v>
      </c>
    </row>
    <row r="284" spans="4:13" x14ac:dyDescent="0.3">
      <c r="D284" s="51">
        <v>895.1</v>
      </c>
      <c r="F284" s="51">
        <v>0.64214519999999997</v>
      </c>
      <c r="H284" s="51">
        <v>3.018082440000029</v>
      </c>
    </row>
    <row r="285" spans="4:13" x14ac:dyDescent="0.3">
      <c r="D285" s="51">
        <v>899.8</v>
      </c>
      <c r="F285" s="51">
        <v>0.64214519999999997</v>
      </c>
      <c r="H285" s="51">
        <v>3.0180824399999562</v>
      </c>
      <c r="K285" s="51">
        <f>SUM(H275:H285)</f>
        <v>37.20954693599996</v>
      </c>
      <c r="M285" s="51" t="s">
        <v>222</v>
      </c>
    </row>
    <row r="286" spans="4:13" x14ac:dyDescent="0.3">
      <c r="D286" s="51">
        <v>904.5</v>
      </c>
      <c r="F286" s="51">
        <v>1.2128215199999999</v>
      </c>
      <c r="H286" s="51">
        <v>5.7002611440000548</v>
      </c>
    </row>
    <row r="287" spans="4:13" x14ac:dyDescent="0.3">
      <c r="D287" s="51">
        <v>909.3</v>
      </c>
      <c r="F287" s="51">
        <v>1.2128215199999999</v>
      </c>
      <c r="H287" s="51">
        <v>5.8215432959999447</v>
      </c>
    </row>
    <row r="288" spans="4:13" x14ac:dyDescent="0.3">
      <c r="D288" s="51">
        <v>914</v>
      </c>
      <c r="F288" s="51">
        <v>1.2128215199999999</v>
      </c>
      <c r="H288" s="51">
        <v>5.7002611440000548</v>
      </c>
    </row>
    <row r="289" spans="4:13" x14ac:dyDescent="0.3">
      <c r="D289" s="51">
        <v>918.7</v>
      </c>
      <c r="F289" s="51">
        <v>1.2837530400000001</v>
      </c>
      <c r="H289" s="51">
        <v>6.0336392880000593</v>
      </c>
    </row>
    <row r="290" spans="4:13" x14ac:dyDescent="0.3">
      <c r="D290" s="51">
        <v>923.4</v>
      </c>
      <c r="F290" s="51">
        <v>1.2837530400000001</v>
      </c>
      <c r="H290" s="51">
        <v>6.0336392879999128</v>
      </c>
    </row>
    <row r="291" spans="4:13" x14ac:dyDescent="0.3">
      <c r="D291" s="51">
        <v>928.1</v>
      </c>
      <c r="F291" s="51">
        <v>1.4266908</v>
      </c>
      <c r="H291" s="51">
        <v>6.7054467600000649</v>
      </c>
    </row>
    <row r="292" spans="4:13" x14ac:dyDescent="0.3">
      <c r="D292" s="51">
        <v>932.8</v>
      </c>
      <c r="F292" s="51">
        <v>1.4266908</v>
      </c>
      <c r="H292" s="51">
        <v>6.7054467599999033</v>
      </c>
    </row>
    <row r="293" spans="4:13" x14ac:dyDescent="0.3">
      <c r="D293" s="51">
        <v>937.5</v>
      </c>
      <c r="F293" s="51">
        <v>1.5690912000000001</v>
      </c>
      <c r="H293" s="51">
        <v>7.3747286400000718</v>
      </c>
    </row>
    <row r="294" spans="4:13" x14ac:dyDescent="0.3">
      <c r="D294" s="51">
        <v>942.2</v>
      </c>
      <c r="F294" s="51">
        <v>1.64056008</v>
      </c>
      <c r="H294" s="51">
        <v>7.7106323760000741</v>
      </c>
    </row>
    <row r="295" spans="4:13" x14ac:dyDescent="0.3">
      <c r="D295" s="51">
        <v>946.9</v>
      </c>
      <c r="F295" s="51">
        <v>1.71202896</v>
      </c>
      <c r="H295" s="51">
        <v>8.0465361119998828</v>
      </c>
      <c r="K295" s="51">
        <f>SUM(H286:H295)</f>
        <v>65.832134808000021</v>
      </c>
      <c r="M295" s="51" t="s">
        <v>223</v>
      </c>
    </row>
    <row r="296" spans="4:13" x14ac:dyDescent="0.3">
      <c r="D296" s="51">
        <v>951.6</v>
      </c>
      <c r="F296" s="51">
        <v>1.7834978399999999</v>
      </c>
      <c r="H296" s="51">
        <v>8.3824398480000806</v>
      </c>
    </row>
    <row r="297" spans="4:13" x14ac:dyDescent="0.3">
      <c r="D297" s="51">
        <v>956.3</v>
      </c>
      <c r="F297" s="51">
        <v>1.7834978399999999</v>
      </c>
      <c r="H297" s="51">
        <v>8.3824398479998781</v>
      </c>
    </row>
    <row r="298" spans="4:13" x14ac:dyDescent="0.3">
      <c r="D298" s="51">
        <v>961</v>
      </c>
      <c r="F298" s="51">
        <v>1.7834978399999999</v>
      </c>
      <c r="H298" s="51">
        <v>8.3824398480000806</v>
      </c>
    </row>
    <row r="299" spans="4:13" x14ac:dyDescent="0.3">
      <c r="D299" s="51">
        <v>965.7</v>
      </c>
      <c r="F299" s="51">
        <v>1.71202896</v>
      </c>
      <c r="H299" s="51">
        <v>8.0465361120000782</v>
      </c>
    </row>
    <row r="300" spans="4:13" x14ac:dyDescent="0.3">
      <c r="D300" s="51">
        <v>970.4</v>
      </c>
      <c r="F300" s="51">
        <v>1.64056008</v>
      </c>
      <c r="H300" s="51">
        <v>7.7106323759998876</v>
      </c>
    </row>
    <row r="301" spans="4:13" x14ac:dyDescent="0.3">
      <c r="D301" s="51">
        <v>975.2</v>
      </c>
      <c r="F301" s="51">
        <v>1.64056008</v>
      </c>
      <c r="H301" s="51">
        <v>7.8746883840001116</v>
      </c>
    </row>
    <row r="302" spans="4:13" x14ac:dyDescent="0.3">
      <c r="D302" s="51">
        <v>979.9</v>
      </c>
      <c r="F302" s="51">
        <v>1.64056008</v>
      </c>
      <c r="H302" s="51">
        <v>7.7106323759998876</v>
      </c>
    </row>
    <row r="303" spans="4:13" x14ac:dyDescent="0.3">
      <c r="D303" s="51">
        <v>984.6</v>
      </c>
      <c r="F303" s="51">
        <v>1.71202896</v>
      </c>
      <c r="H303" s="51">
        <v>8.0465361120000782</v>
      </c>
    </row>
    <row r="304" spans="4:13" x14ac:dyDescent="0.3">
      <c r="D304" s="51">
        <v>994</v>
      </c>
      <c r="F304" s="51">
        <v>1.9973671200000001</v>
      </c>
      <c r="H304" s="51">
        <v>18.775250927999956</v>
      </c>
    </row>
    <row r="305" spans="4:13" x14ac:dyDescent="0.3">
      <c r="D305" s="51">
        <v>998.7</v>
      </c>
      <c r="F305" s="51">
        <v>2.2827052800000001</v>
      </c>
      <c r="H305" s="51">
        <v>10.728714816000105</v>
      </c>
      <c r="K305" s="51">
        <f>SUM(H296:H305)</f>
        <v>94.04031064800013</v>
      </c>
      <c r="M305" s="51" t="s">
        <v>224</v>
      </c>
    </row>
    <row r="306" spans="4:13" x14ac:dyDescent="0.3">
      <c r="D306" s="51">
        <v>1003</v>
      </c>
      <c r="F306" s="51">
        <v>2.2827052800000001</v>
      </c>
      <c r="H306" s="51">
        <v>9.8156327039998956</v>
      </c>
    </row>
    <row r="307" spans="4:13" x14ac:dyDescent="0.3">
      <c r="D307" s="51">
        <v>1008</v>
      </c>
      <c r="F307" s="51">
        <v>2.0688360000000001</v>
      </c>
      <c r="H307" s="51">
        <v>10.344180000000001</v>
      </c>
    </row>
    <row r="308" spans="4:13" x14ac:dyDescent="0.3">
      <c r="D308" s="51">
        <v>1013</v>
      </c>
      <c r="F308" s="51">
        <v>1.92589824</v>
      </c>
      <c r="H308" s="51">
        <v>9.6294912000000004</v>
      </c>
    </row>
    <row r="309" spans="4:13" x14ac:dyDescent="0.3">
      <c r="D309" s="51">
        <v>1018</v>
      </c>
      <c r="F309" s="51">
        <v>1.8544293600000001</v>
      </c>
      <c r="H309" s="51">
        <v>9.2721468000000016</v>
      </c>
    </row>
    <row r="310" spans="4:13" x14ac:dyDescent="0.3">
      <c r="D310" s="51">
        <v>1022</v>
      </c>
      <c r="F310" s="51">
        <v>1.92589824</v>
      </c>
      <c r="H310" s="51">
        <v>7.7035929599999999</v>
      </c>
    </row>
    <row r="311" spans="4:13" x14ac:dyDescent="0.3">
      <c r="D311" s="51">
        <v>1027</v>
      </c>
      <c r="F311" s="51">
        <v>1.8544293600000001</v>
      </c>
      <c r="H311" s="51">
        <v>9.2721468000000016</v>
      </c>
    </row>
    <row r="312" spans="4:13" x14ac:dyDescent="0.3">
      <c r="D312" s="51">
        <v>1032</v>
      </c>
      <c r="F312" s="51">
        <v>1.92589824</v>
      </c>
      <c r="H312" s="51">
        <v>9.6294912000000004</v>
      </c>
    </row>
    <row r="313" spans="4:13" x14ac:dyDescent="0.3">
      <c r="D313" s="51">
        <v>1036</v>
      </c>
      <c r="F313" s="51">
        <v>1.9973671200000001</v>
      </c>
      <c r="H313" s="51">
        <v>7.9894684800000002</v>
      </c>
    </row>
    <row r="314" spans="4:13" x14ac:dyDescent="0.3">
      <c r="D314" s="51">
        <v>1046</v>
      </c>
      <c r="F314" s="51">
        <v>1.92589824</v>
      </c>
      <c r="H314" s="51">
        <v>19.258982400000001</v>
      </c>
      <c r="K314" s="51">
        <f>SUM(H306:H314)</f>
        <v>92.915132543999903</v>
      </c>
      <c r="M314" s="51" t="s">
        <v>225</v>
      </c>
    </row>
    <row r="315" spans="4:13" x14ac:dyDescent="0.3">
      <c r="D315" s="51">
        <v>1050</v>
      </c>
      <c r="F315" s="51">
        <v>1.92589824</v>
      </c>
      <c r="H315" s="51">
        <v>7.7035929599999999</v>
      </c>
    </row>
    <row r="316" spans="4:13" x14ac:dyDescent="0.3">
      <c r="D316" s="51">
        <v>1055</v>
      </c>
      <c r="F316" s="51">
        <v>1.9973671200000001</v>
      </c>
      <c r="H316" s="51">
        <v>9.9868356000000009</v>
      </c>
    </row>
    <row r="317" spans="4:13" x14ac:dyDescent="0.3">
      <c r="D317" s="51">
        <v>1060</v>
      </c>
      <c r="F317" s="51">
        <v>2.0688360000000001</v>
      </c>
      <c r="H317" s="51">
        <v>10.344180000000001</v>
      </c>
    </row>
    <row r="318" spans="4:13" x14ac:dyDescent="0.3">
      <c r="D318" s="51">
        <v>1065</v>
      </c>
      <c r="F318" s="51">
        <v>2.2112364000000002</v>
      </c>
      <c r="H318" s="51">
        <v>11.056182000000002</v>
      </c>
    </row>
    <row r="319" spans="4:13" x14ac:dyDescent="0.3">
      <c r="D319" s="51">
        <v>1069</v>
      </c>
      <c r="F319" s="51">
        <v>2.3541741600000003</v>
      </c>
      <c r="H319" s="51">
        <v>9.4166966400000014</v>
      </c>
    </row>
    <row r="320" spans="4:13" x14ac:dyDescent="0.3">
      <c r="D320" s="51">
        <v>1074</v>
      </c>
      <c r="F320" s="51">
        <v>3.4949894399999999</v>
      </c>
      <c r="H320" s="51">
        <v>17.474947199999999</v>
      </c>
    </row>
    <row r="321" spans="4:13" x14ac:dyDescent="0.3">
      <c r="D321" s="51">
        <v>1079</v>
      </c>
      <c r="F321" s="51">
        <v>4.9216802399999997</v>
      </c>
      <c r="H321" s="51">
        <v>24.608401199999999</v>
      </c>
    </row>
    <row r="322" spans="4:13" x14ac:dyDescent="0.3">
      <c r="D322" s="51">
        <v>1083</v>
      </c>
      <c r="F322" s="51">
        <v>5.3499561600000005</v>
      </c>
      <c r="H322" s="51">
        <v>21.399824640000002</v>
      </c>
    </row>
    <row r="323" spans="4:13" x14ac:dyDescent="0.3">
      <c r="D323" s="51">
        <v>1088</v>
      </c>
      <c r="F323" s="51">
        <v>4.7078109599999998</v>
      </c>
      <c r="H323" s="51">
        <v>23.539054799999999</v>
      </c>
    </row>
    <row r="324" spans="4:13" x14ac:dyDescent="0.3">
      <c r="D324" s="51">
        <v>1093</v>
      </c>
      <c r="F324" s="51">
        <v>4.2086035200000005</v>
      </c>
      <c r="H324" s="51">
        <v>21.043017600000002</v>
      </c>
    </row>
    <row r="325" spans="4:13" x14ac:dyDescent="0.3">
      <c r="D325" s="51">
        <v>1098</v>
      </c>
      <c r="F325" s="51">
        <v>3.7093960799999999</v>
      </c>
      <c r="H325" s="51">
        <v>18.546980399999999</v>
      </c>
      <c r="K325" s="51">
        <f>SUM(H315:H325)</f>
        <v>175.11971304000002</v>
      </c>
      <c r="M325" s="51" t="s">
        <v>226</v>
      </c>
    </row>
    <row r="326" spans="4:13" x14ac:dyDescent="0.3">
      <c r="D326" s="51">
        <v>1102</v>
      </c>
      <c r="F326" s="51">
        <v>3.28112016</v>
      </c>
      <c r="H326" s="51">
        <v>13.12448064</v>
      </c>
    </row>
    <row r="327" spans="4:13" x14ac:dyDescent="0.3">
      <c r="D327" s="51">
        <v>1107</v>
      </c>
      <c r="F327" s="51">
        <v>3.1387197600000003</v>
      </c>
      <c r="H327" s="51">
        <v>15.693598800000002</v>
      </c>
    </row>
    <row r="328" spans="4:13" x14ac:dyDescent="0.3">
      <c r="D328" s="51">
        <v>1112</v>
      </c>
      <c r="F328" s="51">
        <v>3.1387197600000003</v>
      </c>
      <c r="H328" s="51">
        <v>15.693598800000002</v>
      </c>
    </row>
    <row r="329" spans="4:13" x14ac:dyDescent="0.3">
      <c r="D329" s="51">
        <v>1116</v>
      </c>
      <c r="F329" s="51">
        <v>3.28112016</v>
      </c>
      <c r="H329" s="51">
        <v>13.12448064</v>
      </c>
    </row>
    <row r="330" spans="4:13" x14ac:dyDescent="0.3">
      <c r="D330" s="51">
        <v>1121</v>
      </c>
      <c r="F330" s="51">
        <v>3.5664583200000002</v>
      </c>
      <c r="H330" s="51">
        <v>17.832291600000001</v>
      </c>
    </row>
    <row r="331" spans="4:13" x14ac:dyDescent="0.3">
      <c r="D331" s="51">
        <v>1126</v>
      </c>
      <c r="F331" s="51">
        <v>3.9947342400000001</v>
      </c>
      <c r="H331" s="51">
        <v>19.973671200000002</v>
      </c>
    </row>
    <row r="332" spans="4:13" x14ac:dyDescent="0.3">
      <c r="D332" s="51">
        <v>1130</v>
      </c>
      <c r="F332" s="51">
        <v>5.0646180000000003</v>
      </c>
      <c r="H332" s="51">
        <v>20.258472000000001</v>
      </c>
    </row>
    <row r="333" spans="4:13" x14ac:dyDescent="0.3">
      <c r="D333" s="51">
        <v>1135</v>
      </c>
      <c r="F333" s="51">
        <v>11.6983272</v>
      </c>
      <c r="H333" s="51">
        <v>58.491636</v>
      </c>
    </row>
    <row r="334" spans="4:13" x14ac:dyDescent="0.3">
      <c r="D334" s="51">
        <v>1140</v>
      </c>
      <c r="F334" s="51">
        <v>15.4061112</v>
      </c>
      <c r="H334" s="51">
        <v>77.030556000000004</v>
      </c>
    </row>
    <row r="335" spans="4:13" x14ac:dyDescent="0.3">
      <c r="D335" s="51">
        <v>1149</v>
      </c>
      <c r="F335" s="51">
        <v>16.760258400000001</v>
      </c>
      <c r="H335" s="51">
        <v>150.84232560000001</v>
      </c>
      <c r="K335" s="51">
        <f>SUM(H326:H335)</f>
        <v>402.06511128</v>
      </c>
    </row>
    <row r="336" spans="4:13" x14ac:dyDescent="0.3">
      <c r="D336" s="51">
        <v>1159</v>
      </c>
      <c r="F336" s="51">
        <v>15.0514536</v>
      </c>
      <c r="H336" s="51">
        <v>150.51453599999999</v>
      </c>
    </row>
    <row r="337" spans="4:11" x14ac:dyDescent="0.3">
      <c r="D337" s="51">
        <v>1163</v>
      </c>
      <c r="F337" s="51">
        <v>8.0603999999999996</v>
      </c>
      <c r="H337" s="51">
        <v>32.241599999999998</v>
      </c>
    </row>
    <row r="338" spans="4:11" x14ac:dyDescent="0.3">
      <c r="D338" s="51">
        <v>1168</v>
      </c>
      <c r="F338" s="51">
        <v>6.2065080000000004</v>
      </c>
      <c r="H338" s="51">
        <v>31.032540000000001</v>
      </c>
    </row>
    <row r="339" spans="4:11" x14ac:dyDescent="0.3">
      <c r="D339" s="51">
        <v>1173</v>
      </c>
      <c r="F339" s="51">
        <v>6.2763648000000005</v>
      </c>
      <c r="H339" s="51">
        <v>31.381824000000002</v>
      </c>
    </row>
    <row r="340" spans="4:11" x14ac:dyDescent="0.3">
      <c r="D340" s="51">
        <v>1178</v>
      </c>
      <c r="F340" s="51">
        <v>5.2784872800000002</v>
      </c>
      <c r="H340" s="51">
        <v>26.392436400000001</v>
      </c>
    </row>
    <row r="341" spans="4:11" x14ac:dyDescent="0.3">
      <c r="D341" s="51">
        <v>1182</v>
      </c>
      <c r="F341" s="51">
        <v>3.5664583200000002</v>
      </c>
      <c r="H341" s="51">
        <v>14.265833280000001</v>
      </c>
    </row>
    <row r="342" spans="4:11" x14ac:dyDescent="0.3">
      <c r="D342" s="51">
        <v>1187</v>
      </c>
      <c r="F342" s="51">
        <v>3.28112016</v>
      </c>
      <c r="H342" s="51">
        <v>16.405600799999998</v>
      </c>
    </row>
    <row r="343" spans="4:11" x14ac:dyDescent="0.3">
      <c r="D343" s="51">
        <v>1192</v>
      </c>
      <c r="F343" s="51">
        <v>4.3510039200000001</v>
      </c>
      <c r="H343" s="51">
        <v>21.755019600000001</v>
      </c>
    </row>
    <row r="344" spans="4:11" x14ac:dyDescent="0.3">
      <c r="D344" s="51">
        <v>1196</v>
      </c>
      <c r="F344" s="51">
        <v>5.5616760000000003</v>
      </c>
      <c r="H344" s="51">
        <v>22.246704000000001</v>
      </c>
      <c r="K344" s="51">
        <f>SUM(H336:H344)</f>
        <v>346.23609408000004</v>
      </c>
    </row>
    <row r="345" spans="4:11" x14ac:dyDescent="0.3">
      <c r="D345" s="51">
        <v>1201</v>
      </c>
      <c r="F345" s="51">
        <v>6.8459664</v>
      </c>
      <c r="H345" s="51">
        <v>34.229832000000002</v>
      </c>
    </row>
    <row r="346" spans="4:11" x14ac:dyDescent="0.3">
      <c r="D346" s="51">
        <v>1206</v>
      </c>
      <c r="F346" s="51">
        <v>7.0609104</v>
      </c>
      <c r="H346" s="51">
        <v>35.304552000000001</v>
      </c>
    </row>
    <row r="347" spans="4:11" x14ac:dyDescent="0.3">
      <c r="D347" s="51">
        <v>1210</v>
      </c>
      <c r="F347" s="51">
        <v>6.9211967999999997</v>
      </c>
      <c r="H347" s="51">
        <v>27.684787199999999</v>
      </c>
    </row>
    <row r="348" spans="4:11" x14ac:dyDescent="0.3">
      <c r="D348" s="51">
        <v>1215</v>
      </c>
      <c r="F348" s="51">
        <v>6.7062527999999997</v>
      </c>
      <c r="H348" s="51">
        <v>33.531264</v>
      </c>
    </row>
    <row r="349" spans="4:11" x14ac:dyDescent="0.3">
      <c r="D349" s="51">
        <v>1220</v>
      </c>
      <c r="F349" s="51">
        <v>6.3462215999999998</v>
      </c>
      <c r="H349" s="51">
        <v>31.731107999999999</v>
      </c>
    </row>
    <row r="350" spans="4:11" x14ac:dyDescent="0.3">
      <c r="D350" s="51">
        <v>1225</v>
      </c>
      <c r="F350" s="51">
        <v>6.1366512000000002</v>
      </c>
      <c r="H350" s="51">
        <v>30.683256</v>
      </c>
    </row>
    <row r="351" spans="4:11" x14ac:dyDescent="0.3">
      <c r="D351" s="51">
        <v>1229</v>
      </c>
      <c r="F351" s="51">
        <v>6.1366512000000002</v>
      </c>
      <c r="H351" s="51">
        <v>24.546604800000001</v>
      </c>
    </row>
    <row r="352" spans="4:11" x14ac:dyDescent="0.3">
      <c r="D352" s="51">
        <v>1234</v>
      </c>
      <c r="F352" s="51">
        <v>6.7062527999999997</v>
      </c>
      <c r="H352" s="51">
        <v>33.531264</v>
      </c>
    </row>
    <row r="353" spans="4:11" x14ac:dyDescent="0.3">
      <c r="D353" s="51">
        <v>1239</v>
      </c>
      <c r="F353" s="51">
        <v>6.9910535999999999</v>
      </c>
      <c r="H353" s="51">
        <v>34.955267999999997</v>
      </c>
    </row>
    <row r="354" spans="4:11" x14ac:dyDescent="0.3">
      <c r="D354" s="51">
        <v>1243</v>
      </c>
      <c r="F354" s="51">
        <v>6.3462215999999998</v>
      </c>
      <c r="H354" s="51">
        <v>25.384886399999999</v>
      </c>
    </row>
    <row r="355" spans="4:11" x14ac:dyDescent="0.3">
      <c r="D355" s="51">
        <v>1248</v>
      </c>
      <c r="F355" s="51">
        <v>5.7067632000000001</v>
      </c>
      <c r="H355" s="51">
        <v>28.533816000000002</v>
      </c>
      <c r="K355" s="51">
        <f>SUM(H345:H355)</f>
        <v>340.11663840000006</v>
      </c>
    </row>
    <row r="356" spans="4:11" x14ac:dyDescent="0.3">
      <c r="D356" s="51">
        <v>1253</v>
      </c>
      <c r="F356" s="51">
        <v>5.7067632000000001</v>
      </c>
      <c r="H356" s="51">
        <v>28.533816000000002</v>
      </c>
    </row>
    <row r="357" spans="4:11" x14ac:dyDescent="0.3">
      <c r="D357" s="51">
        <v>1258</v>
      </c>
      <c r="F357" s="51">
        <v>6.0614208000000005</v>
      </c>
      <c r="H357" s="51">
        <v>30.307104000000002</v>
      </c>
    </row>
    <row r="358" spans="4:11" x14ac:dyDescent="0.3">
      <c r="D358" s="51">
        <v>1262</v>
      </c>
      <c r="F358" s="51">
        <v>7.9153127999999997</v>
      </c>
      <c r="H358" s="51">
        <v>31.661251199999999</v>
      </c>
    </row>
    <row r="359" spans="4:11" x14ac:dyDescent="0.3">
      <c r="D359" s="51">
        <v>1267</v>
      </c>
      <c r="F359" s="51">
        <v>11.4833832</v>
      </c>
      <c r="H359" s="51">
        <v>57.416916000000001</v>
      </c>
    </row>
    <row r="360" spans="4:11" x14ac:dyDescent="0.3">
      <c r="D360" s="51">
        <v>1272</v>
      </c>
      <c r="F360" s="51">
        <v>14.6215656</v>
      </c>
      <c r="H360" s="51">
        <v>73.107827999999998</v>
      </c>
    </row>
    <row r="361" spans="4:11" x14ac:dyDescent="0.3">
      <c r="D361" s="51">
        <v>1276</v>
      </c>
      <c r="F361" s="51">
        <v>13.4823624</v>
      </c>
      <c r="H361" s="51">
        <v>53.929449599999998</v>
      </c>
    </row>
    <row r="362" spans="4:11" x14ac:dyDescent="0.3">
      <c r="D362" s="51">
        <v>1281</v>
      </c>
      <c r="F362" s="51">
        <v>10.2743232</v>
      </c>
      <c r="H362" s="51">
        <v>51.371615999999996</v>
      </c>
    </row>
    <row r="363" spans="4:11" x14ac:dyDescent="0.3">
      <c r="D363" s="51">
        <v>1286</v>
      </c>
      <c r="F363" s="51">
        <v>7.4907984000000001</v>
      </c>
      <c r="H363" s="51">
        <v>37.453992</v>
      </c>
    </row>
    <row r="364" spans="4:11" x14ac:dyDescent="0.3">
      <c r="D364" s="51">
        <v>1291</v>
      </c>
      <c r="F364" s="51">
        <v>5.6369064</v>
      </c>
      <c r="H364" s="51">
        <v>28.184532000000001</v>
      </c>
    </row>
    <row r="365" spans="4:11" x14ac:dyDescent="0.3">
      <c r="D365" s="51">
        <v>1295</v>
      </c>
      <c r="F365" s="51">
        <v>5.1360868799999997</v>
      </c>
      <c r="H365" s="51">
        <v>20.544347519999999</v>
      </c>
      <c r="K365" s="51">
        <f>SUM(H356:H365)</f>
        <v>412.51085232000003</v>
      </c>
    </row>
    <row r="366" spans="4:11" x14ac:dyDescent="0.3">
      <c r="D366" s="51">
        <v>1300</v>
      </c>
      <c r="F366" s="51">
        <v>4.8507487200000003</v>
      </c>
      <c r="H366" s="51">
        <v>24.2537436</v>
      </c>
    </row>
    <row r="367" spans="4:11" x14ac:dyDescent="0.3">
      <c r="D367" s="51">
        <v>1305</v>
      </c>
      <c r="F367" s="51">
        <v>4.4224728000000004</v>
      </c>
      <c r="H367" s="51">
        <v>22.112364000000003</v>
      </c>
    </row>
    <row r="368" spans="4:11" x14ac:dyDescent="0.3">
      <c r="D368" s="51">
        <v>1309</v>
      </c>
      <c r="F368" s="51">
        <v>4.1371346400000002</v>
      </c>
      <c r="H368" s="51">
        <v>16.548538560000001</v>
      </c>
    </row>
    <row r="369" spans="4:11" x14ac:dyDescent="0.3">
      <c r="D369" s="51">
        <v>1314</v>
      </c>
      <c r="F369" s="51">
        <v>3.9947342400000001</v>
      </c>
      <c r="H369" s="51">
        <v>19.973671200000002</v>
      </c>
    </row>
    <row r="370" spans="4:11" x14ac:dyDescent="0.3">
      <c r="D370" s="51">
        <v>1319</v>
      </c>
      <c r="F370" s="51">
        <v>3.9232653600000003</v>
      </c>
      <c r="H370" s="51">
        <v>19.616326800000003</v>
      </c>
    </row>
    <row r="371" spans="4:11" x14ac:dyDescent="0.3">
      <c r="D371" s="51">
        <v>1323</v>
      </c>
      <c r="F371" s="51">
        <v>3.85179648</v>
      </c>
      <c r="H371" s="51">
        <v>15.40718592</v>
      </c>
    </row>
    <row r="372" spans="4:11" x14ac:dyDescent="0.3">
      <c r="D372" s="51">
        <v>1328</v>
      </c>
      <c r="F372" s="51">
        <v>3.8994423999999999</v>
      </c>
      <c r="H372" s="51">
        <v>19.497211999999998</v>
      </c>
    </row>
    <row r="373" spans="4:11" x14ac:dyDescent="0.3">
      <c r="D373" s="51">
        <v>1333</v>
      </c>
      <c r="F373" s="51">
        <v>3.9470883199999998</v>
      </c>
      <c r="H373" s="51">
        <v>19.735441599999998</v>
      </c>
    </row>
    <row r="374" spans="4:11" x14ac:dyDescent="0.3">
      <c r="D374" s="51">
        <v>1334</v>
      </c>
      <c r="F374" s="51">
        <v>3.9947342400000001</v>
      </c>
      <c r="H374" s="51">
        <v>3.9947342400000001</v>
      </c>
    </row>
    <row r="375" spans="4:11" x14ac:dyDescent="0.3">
      <c r="D375" s="51">
        <v>1338</v>
      </c>
      <c r="F375" s="51">
        <v>4.0124671200000002</v>
      </c>
      <c r="H375" s="51">
        <v>16.049868480000001</v>
      </c>
    </row>
    <row r="376" spans="4:11" x14ac:dyDescent="0.3">
      <c r="D376" s="51">
        <v>1342</v>
      </c>
      <c r="F376" s="51">
        <v>4.0301999999999998</v>
      </c>
      <c r="H376" s="51">
        <v>16.120799999999999</v>
      </c>
    </row>
    <row r="377" spans="4:11" x14ac:dyDescent="0.3">
      <c r="D377" s="51">
        <v>1347</v>
      </c>
      <c r="F377" s="51">
        <v>4.0479328799999994</v>
      </c>
      <c r="H377" s="51">
        <v>20.239664399999995</v>
      </c>
    </row>
    <row r="378" spans="4:11" x14ac:dyDescent="0.3">
      <c r="D378" s="51">
        <v>1347</v>
      </c>
      <c r="F378" s="51">
        <v>4.0656657599999999</v>
      </c>
      <c r="H378" s="51">
        <v>0</v>
      </c>
      <c r="K378" s="51">
        <f>SUM(H366:H378)</f>
        <v>213.54955080000002</v>
      </c>
    </row>
    <row r="379" spans="4:11" x14ac:dyDescent="0.3">
      <c r="D379" s="51">
        <v>1352</v>
      </c>
      <c r="F379" s="51">
        <v>3.9765983399999998</v>
      </c>
      <c r="H379" s="51">
        <v>19.882991699999998</v>
      </c>
    </row>
    <row r="380" spans="4:11" x14ac:dyDescent="0.3">
      <c r="D380" s="51">
        <v>1356</v>
      </c>
      <c r="F380" s="51">
        <v>3.8875309199999997</v>
      </c>
      <c r="H380" s="51">
        <v>15.550123679999999</v>
      </c>
    </row>
    <row r="381" spans="4:11" x14ac:dyDescent="0.3">
      <c r="D381" s="51">
        <v>1361</v>
      </c>
      <c r="F381" s="51">
        <v>3.7984634999999995</v>
      </c>
      <c r="H381" s="51">
        <v>18.992317499999999</v>
      </c>
    </row>
    <row r="382" spans="4:11" x14ac:dyDescent="0.3">
      <c r="D382" s="51">
        <v>1365</v>
      </c>
      <c r="F382" s="51">
        <v>3.7093960799999999</v>
      </c>
      <c r="H382" s="51">
        <v>14.837584319999999</v>
      </c>
    </row>
    <row r="383" spans="4:11" x14ac:dyDescent="0.3">
      <c r="D383" s="51">
        <v>1366</v>
      </c>
      <c r="F383" s="51">
        <v>3.6736616399999997</v>
      </c>
      <c r="H383" s="51">
        <v>3.6736616399999997</v>
      </c>
    </row>
    <row r="384" spans="4:11" x14ac:dyDescent="0.3">
      <c r="D384" s="51">
        <v>1371</v>
      </c>
      <c r="F384" s="51">
        <v>3.6379271999999996</v>
      </c>
      <c r="H384" s="51">
        <v>18.189635999999997</v>
      </c>
    </row>
    <row r="385" spans="4:11" x14ac:dyDescent="0.3">
      <c r="D385" s="51">
        <v>1375</v>
      </c>
      <c r="F385" s="51">
        <v>3.6021927599999994</v>
      </c>
      <c r="H385" s="51">
        <v>14.408771039999998</v>
      </c>
    </row>
    <row r="386" spans="4:11" x14ac:dyDescent="0.3">
      <c r="D386" s="51">
        <v>1380</v>
      </c>
      <c r="F386" s="51">
        <v>3.5664583199999993</v>
      </c>
      <c r="H386" s="51">
        <v>17.832291599999998</v>
      </c>
    </row>
    <row r="387" spans="4:11" x14ac:dyDescent="0.3">
      <c r="D387" s="51">
        <v>1385</v>
      </c>
      <c r="F387" s="51">
        <v>3.5307238799999991</v>
      </c>
      <c r="H387" s="51">
        <v>17.653619399999997</v>
      </c>
    </row>
    <row r="388" spans="4:11" x14ac:dyDescent="0.3">
      <c r="D388" s="51">
        <v>1388</v>
      </c>
      <c r="F388" s="51">
        <v>3.4949894399999999</v>
      </c>
      <c r="H388" s="51">
        <v>10.48496832</v>
      </c>
    </row>
    <row r="389" spans="4:11" x14ac:dyDescent="0.3">
      <c r="D389" s="51">
        <v>1389</v>
      </c>
      <c r="F389" s="51">
        <v>3.5069009200000001</v>
      </c>
      <c r="H389" s="51">
        <v>3.5069009200000001</v>
      </c>
    </row>
    <row r="390" spans="4:11" x14ac:dyDescent="0.3">
      <c r="D390" s="51">
        <v>1394</v>
      </c>
      <c r="F390" s="51">
        <v>3.5188124000000003</v>
      </c>
      <c r="H390" s="51">
        <v>17.594062000000001</v>
      </c>
    </row>
    <row r="391" spans="4:11" x14ac:dyDescent="0.3">
      <c r="D391" s="51">
        <v>1399</v>
      </c>
      <c r="F391" s="51">
        <v>3.5307238800000005</v>
      </c>
      <c r="H391" s="51">
        <v>17.653619400000004</v>
      </c>
      <c r="K391" s="51">
        <f>SUM(H379:H391)</f>
        <v>190.26054751999999</v>
      </c>
    </row>
    <row r="392" spans="4:11" x14ac:dyDescent="0.3">
      <c r="D392" s="51">
        <v>1403</v>
      </c>
      <c r="F392" s="51">
        <v>3.5426353600000007</v>
      </c>
      <c r="H392" s="51">
        <v>14.170541440000003</v>
      </c>
    </row>
    <row r="393" spans="4:11" x14ac:dyDescent="0.3">
      <c r="D393" s="51">
        <v>1408</v>
      </c>
      <c r="F393" s="51">
        <v>3.5545468400000009</v>
      </c>
      <c r="H393" s="51">
        <v>17.772734200000006</v>
      </c>
    </row>
    <row r="394" spans="4:11" x14ac:dyDescent="0.3">
      <c r="D394" s="51">
        <v>1411</v>
      </c>
      <c r="F394" s="51">
        <v>3.5664583200000002</v>
      </c>
      <c r="H394" s="51">
        <v>10.69937496</v>
      </c>
    </row>
    <row r="395" spans="4:11" x14ac:dyDescent="0.3">
      <c r="D395" s="51">
        <v>1413</v>
      </c>
      <c r="F395" s="51">
        <v>3.595045872</v>
      </c>
      <c r="H395" s="51">
        <v>7.1900917440000001</v>
      </c>
    </row>
    <row r="396" spans="4:11" x14ac:dyDescent="0.3">
      <c r="D396" s="51">
        <v>1418</v>
      </c>
      <c r="F396" s="51">
        <v>3.6236334239999999</v>
      </c>
      <c r="H396" s="51">
        <v>18.118167119999999</v>
      </c>
    </row>
    <row r="397" spans="4:11" x14ac:dyDescent="0.3">
      <c r="D397" s="51">
        <v>1422</v>
      </c>
      <c r="F397" s="51">
        <v>3.6522209759999997</v>
      </c>
      <c r="H397" s="51">
        <v>14.608883903999999</v>
      </c>
    </row>
    <row r="398" spans="4:11" x14ac:dyDescent="0.3">
      <c r="D398" s="51">
        <v>1427</v>
      </c>
      <c r="F398" s="51">
        <v>3.6808085279999996</v>
      </c>
      <c r="H398" s="51">
        <v>18.404042639999997</v>
      </c>
    </row>
    <row r="399" spans="4:11" x14ac:dyDescent="0.3">
      <c r="D399" s="51">
        <v>1429</v>
      </c>
      <c r="F399" s="51">
        <v>3.7093960799999999</v>
      </c>
      <c r="H399" s="51">
        <v>7.4187921599999997</v>
      </c>
    </row>
    <row r="400" spans="4:11" x14ac:dyDescent="0.3">
      <c r="D400" s="51">
        <v>1432</v>
      </c>
      <c r="F400" s="51">
        <v>3.7235823839999997</v>
      </c>
      <c r="H400" s="51">
        <v>11.170747151999999</v>
      </c>
    </row>
    <row r="401" spans="4:11" x14ac:dyDescent="0.3">
      <c r="D401" s="51">
        <v>1436</v>
      </c>
      <c r="F401" s="51">
        <v>3.7377686879999996</v>
      </c>
      <c r="H401" s="51">
        <v>14.951074751999998</v>
      </c>
    </row>
    <row r="402" spans="4:11" x14ac:dyDescent="0.3">
      <c r="D402" s="51">
        <v>1441</v>
      </c>
      <c r="F402" s="51">
        <v>3.7519549919999995</v>
      </c>
      <c r="H402" s="51">
        <v>18.759774959999998</v>
      </c>
    </row>
    <row r="403" spans="4:11" x14ac:dyDescent="0.3">
      <c r="D403" s="51">
        <v>1446</v>
      </c>
      <c r="F403" s="51">
        <v>3.7661412959999994</v>
      </c>
      <c r="H403" s="51">
        <v>18.830706479999996</v>
      </c>
    </row>
    <row r="404" spans="4:11" x14ac:dyDescent="0.3">
      <c r="D404" s="51">
        <v>1449</v>
      </c>
      <c r="F404" s="51">
        <v>3.7803276000000001</v>
      </c>
      <c r="H404" s="51">
        <v>11.340982800000001</v>
      </c>
      <c r="K404" s="51">
        <f>SUM(H392:H404)</f>
        <v>183.43591431199999</v>
      </c>
    </row>
    <row r="405" spans="4:11" x14ac:dyDescent="0.3">
      <c r="D405" s="51">
        <v>1451</v>
      </c>
      <c r="F405" s="51">
        <v>3.85179648</v>
      </c>
      <c r="H405" s="51">
        <v>7.7035929599999999</v>
      </c>
    </row>
    <row r="406" spans="4:11" x14ac:dyDescent="0.3">
      <c r="D406" s="51">
        <v>1460</v>
      </c>
      <c r="F406" s="51">
        <v>3.9232653600000003</v>
      </c>
      <c r="H406" s="51">
        <v>35.309388240000004</v>
      </c>
    </row>
    <row r="407" spans="4:11" x14ac:dyDescent="0.3">
      <c r="D407" s="51">
        <v>1465</v>
      </c>
      <c r="F407" s="51">
        <v>4.2086035200000005</v>
      </c>
      <c r="H407" s="51">
        <v>21.043017600000002</v>
      </c>
    </row>
    <row r="408" spans="4:11" x14ac:dyDescent="0.3">
      <c r="D408" s="51">
        <v>1469</v>
      </c>
      <c r="F408" s="51">
        <v>4.6363420799999995</v>
      </c>
      <c r="H408" s="51">
        <v>18.545368319999998</v>
      </c>
    </row>
    <row r="409" spans="4:11" x14ac:dyDescent="0.3">
      <c r="D409" s="51">
        <v>1474</v>
      </c>
      <c r="F409" s="51">
        <v>5.3499561600000005</v>
      </c>
      <c r="H409" s="51">
        <v>26.749780800000003</v>
      </c>
    </row>
    <row r="410" spans="4:11" x14ac:dyDescent="0.3">
      <c r="D410" s="51">
        <v>1479</v>
      </c>
      <c r="F410" s="51">
        <v>7.2059975999999999</v>
      </c>
      <c r="H410" s="51">
        <v>36.029988000000003</v>
      </c>
    </row>
    <row r="411" spans="4:11" x14ac:dyDescent="0.3">
      <c r="D411" s="51">
        <v>1483</v>
      </c>
      <c r="F411" s="51">
        <v>8.0603999999999996</v>
      </c>
      <c r="H411" s="51">
        <v>32.241599999999998</v>
      </c>
    </row>
    <row r="412" spans="4:11" x14ac:dyDescent="0.3">
      <c r="D412" s="51">
        <v>1488</v>
      </c>
      <c r="F412" s="51">
        <v>7.7057424000000001</v>
      </c>
      <c r="H412" s="51">
        <v>38.528711999999999</v>
      </c>
    </row>
    <row r="413" spans="4:11" x14ac:dyDescent="0.3">
      <c r="D413" s="51">
        <v>1493</v>
      </c>
      <c r="F413" s="51">
        <v>6.2763648000000005</v>
      </c>
      <c r="H413" s="51">
        <v>31.381824000000002</v>
      </c>
    </row>
    <row r="414" spans="4:11" x14ac:dyDescent="0.3">
      <c r="D414" s="51">
        <v>1498</v>
      </c>
      <c r="F414" s="51">
        <v>4.99314912</v>
      </c>
      <c r="H414" s="51">
        <v>24.965745599999998</v>
      </c>
      <c r="K414" s="51">
        <f>SUM(H405:H414)</f>
        <v>272.49901752</v>
      </c>
    </row>
    <row r="415" spans="4:11" x14ac:dyDescent="0.3">
      <c r="D415" s="51">
        <v>1502</v>
      </c>
      <c r="F415" s="51">
        <v>4.5654105600000001</v>
      </c>
      <c r="H415" s="51">
        <v>18.26164224</v>
      </c>
    </row>
    <row r="416" spans="4:11" x14ac:dyDescent="0.3">
      <c r="D416" s="51">
        <v>1507</v>
      </c>
      <c r="F416" s="51">
        <v>4.4224728000000004</v>
      </c>
      <c r="H416" s="51">
        <v>22.112364000000003</v>
      </c>
    </row>
    <row r="417" spans="4:11" x14ac:dyDescent="0.3">
      <c r="D417" s="51">
        <v>1512</v>
      </c>
      <c r="F417" s="51">
        <v>4.2086035200000005</v>
      </c>
      <c r="H417" s="51">
        <v>21.043017600000002</v>
      </c>
    </row>
    <row r="418" spans="4:11" x14ac:dyDescent="0.3">
      <c r="D418" s="51">
        <v>1516</v>
      </c>
      <c r="F418" s="51">
        <v>4.2086035200000005</v>
      </c>
      <c r="H418" s="51">
        <v>16.834414080000002</v>
      </c>
    </row>
    <row r="419" spans="4:11" x14ac:dyDescent="0.3">
      <c r="D419" s="51">
        <v>1521</v>
      </c>
      <c r="F419" s="51">
        <v>4.1371346400000002</v>
      </c>
      <c r="H419" s="51">
        <v>20.6856732</v>
      </c>
    </row>
    <row r="420" spans="4:11" x14ac:dyDescent="0.3">
      <c r="D420" s="51">
        <v>1526</v>
      </c>
      <c r="F420" s="51">
        <v>4.0656657599999999</v>
      </c>
      <c r="H420" s="51">
        <v>20.328328800000001</v>
      </c>
    </row>
    <row r="421" spans="4:11" x14ac:dyDescent="0.3">
      <c r="D421" s="51">
        <v>1531</v>
      </c>
      <c r="F421" s="51">
        <v>4.1371346400000002</v>
      </c>
      <c r="H421" s="51">
        <v>20.6856732</v>
      </c>
    </row>
    <row r="422" spans="4:11" x14ac:dyDescent="0.3">
      <c r="D422" s="51">
        <v>1535</v>
      </c>
      <c r="F422" s="51">
        <v>4.2800723999999999</v>
      </c>
      <c r="H422" s="51">
        <v>17.1202896</v>
      </c>
    </row>
    <row r="423" spans="4:11" x14ac:dyDescent="0.3">
      <c r="D423" s="51">
        <v>1540</v>
      </c>
      <c r="F423" s="51">
        <v>4.4224728000000004</v>
      </c>
      <c r="H423" s="51">
        <v>22.112364000000003</v>
      </c>
    </row>
    <row r="424" spans="4:11" x14ac:dyDescent="0.3">
      <c r="D424" s="51">
        <v>1545</v>
      </c>
      <c r="F424" s="51">
        <v>4.3510039200000001</v>
      </c>
      <c r="H424" s="51">
        <v>21.755019600000001</v>
      </c>
    </row>
    <row r="425" spans="4:11" x14ac:dyDescent="0.3">
      <c r="D425" s="51">
        <v>1549</v>
      </c>
      <c r="F425" s="51">
        <v>4.1371346400000002</v>
      </c>
      <c r="H425" s="51">
        <v>16.548538560000001</v>
      </c>
      <c r="K425" s="51">
        <f>SUM(H415:H425)</f>
        <v>217.48732488000002</v>
      </c>
    </row>
    <row r="426" spans="4:11" x14ac:dyDescent="0.3">
      <c r="D426" s="51">
        <v>1559</v>
      </c>
      <c r="F426" s="51">
        <v>4.1371346400000002</v>
      </c>
      <c r="H426" s="51">
        <v>41.3713464</v>
      </c>
    </row>
    <row r="427" spans="4:11" x14ac:dyDescent="0.3">
      <c r="D427" s="51">
        <v>1564</v>
      </c>
      <c r="F427" s="51">
        <v>4.2086035200000005</v>
      </c>
      <c r="H427" s="51">
        <v>21.043017600000002</v>
      </c>
    </row>
    <row r="428" spans="4:11" x14ac:dyDescent="0.3">
      <c r="D428" s="51">
        <v>1568</v>
      </c>
      <c r="F428" s="51">
        <v>4.2800723999999999</v>
      </c>
      <c r="H428" s="51">
        <v>17.1202896</v>
      </c>
    </row>
    <row r="429" spans="4:11" x14ac:dyDescent="0.3">
      <c r="D429" s="51">
        <v>1573</v>
      </c>
      <c r="F429" s="51">
        <v>4.2086035200000005</v>
      </c>
      <c r="H429" s="51">
        <v>21.043017600000002</v>
      </c>
    </row>
    <row r="430" spans="4:11" x14ac:dyDescent="0.3">
      <c r="D430" s="51">
        <v>1578</v>
      </c>
      <c r="F430" s="51">
        <v>4.2086035200000005</v>
      </c>
      <c r="H430" s="51">
        <v>21.043017600000002</v>
      </c>
    </row>
    <row r="431" spans="4:11" x14ac:dyDescent="0.3">
      <c r="D431" s="51">
        <v>1582</v>
      </c>
      <c r="F431" s="51">
        <v>4.2800723999999999</v>
      </c>
      <c r="H431" s="51">
        <v>17.1202896</v>
      </c>
    </row>
    <row r="432" spans="4:11" x14ac:dyDescent="0.3">
      <c r="D432" s="51">
        <v>1587</v>
      </c>
      <c r="F432" s="51">
        <v>4.2800723999999999</v>
      </c>
      <c r="H432" s="51">
        <v>21.400362000000001</v>
      </c>
    </row>
    <row r="433" spans="4:11" x14ac:dyDescent="0.3">
      <c r="D433" s="51">
        <v>1592</v>
      </c>
      <c r="F433" s="51">
        <v>4.2800723999999999</v>
      </c>
      <c r="H433" s="51">
        <v>21.400362000000001</v>
      </c>
    </row>
    <row r="434" spans="4:11" x14ac:dyDescent="0.3">
      <c r="D434" s="51">
        <v>1596</v>
      </c>
      <c r="F434" s="51">
        <v>4.2800723999999999</v>
      </c>
      <c r="H434" s="51">
        <v>17.1202896</v>
      </c>
      <c r="K434" s="51">
        <f>SUM(H426:H434)</f>
        <v>198.66199200000003</v>
      </c>
    </row>
    <row r="435" spans="4:11" x14ac:dyDescent="0.3">
      <c r="D435" s="51">
        <v>1601</v>
      </c>
      <c r="F435" s="51">
        <v>4.2800723999999999</v>
      </c>
      <c r="H435" s="51">
        <v>21.400362000000001</v>
      </c>
    </row>
    <row r="436" spans="4:11" x14ac:dyDescent="0.3">
      <c r="D436" s="51">
        <v>1606</v>
      </c>
      <c r="F436" s="51">
        <v>4.2800723999999999</v>
      </c>
      <c r="H436" s="51">
        <v>21.400362000000001</v>
      </c>
    </row>
    <row r="437" spans="4:11" x14ac:dyDescent="0.3">
      <c r="D437" s="51">
        <v>1611</v>
      </c>
      <c r="F437" s="51">
        <v>4.2800723999999999</v>
      </c>
      <c r="H437" s="51">
        <v>21.400362000000001</v>
      </c>
    </row>
    <row r="438" spans="4:11" x14ac:dyDescent="0.3">
      <c r="D438" s="51">
        <v>1615</v>
      </c>
      <c r="F438" s="51">
        <v>4.2800723999999999</v>
      </c>
      <c r="H438" s="51">
        <v>17.1202896</v>
      </c>
    </row>
    <row r="439" spans="4:11" x14ac:dyDescent="0.3">
      <c r="D439" s="51">
        <v>1620</v>
      </c>
      <c r="F439" s="51">
        <v>4.3510039200000001</v>
      </c>
      <c r="H439" s="51">
        <v>21.755019600000001</v>
      </c>
    </row>
    <row r="440" spans="4:11" x14ac:dyDescent="0.3">
      <c r="D440" s="51">
        <v>1625</v>
      </c>
      <c r="F440" s="51">
        <v>4.3510039200000001</v>
      </c>
      <c r="H440" s="51">
        <v>21.755019600000001</v>
      </c>
    </row>
    <row r="441" spans="4:11" x14ac:dyDescent="0.3">
      <c r="D441" s="51">
        <v>1629</v>
      </c>
      <c r="F441" s="51">
        <v>4.5654105600000001</v>
      </c>
      <c r="H441" s="51">
        <v>18.26164224</v>
      </c>
    </row>
    <row r="442" spans="4:11" x14ac:dyDescent="0.3">
      <c r="D442" s="51">
        <v>1634</v>
      </c>
      <c r="F442" s="51">
        <v>8.4902879999999996</v>
      </c>
      <c r="H442" s="51">
        <v>42.451439999999998</v>
      </c>
    </row>
    <row r="443" spans="4:11" x14ac:dyDescent="0.3">
      <c r="D443" s="51">
        <v>1639</v>
      </c>
      <c r="F443" s="51">
        <v>13.5522192</v>
      </c>
      <c r="H443" s="51">
        <v>67.761095999999995</v>
      </c>
    </row>
    <row r="444" spans="4:11" x14ac:dyDescent="0.3">
      <c r="D444" s="51">
        <v>1644</v>
      </c>
      <c r="F444" s="51">
        <v>15.1213104</v>
      </c>
      <c r="H444" s="51">
        <v>75.606552000000008</v>
      </c>
    </row>
    <row r="445" spans="4:11" x14ac:dyDescent="0.3">
      <c r="D445" s="51">
        <v>1648</v>
      </c>
      <c r="F445" s="51">
        <v>12.3377856</v>
      </c>
      <c r="H445" s="51">
        <v>49.351142400000001</v>
      </c>
      <c r="K445" s="51">
        <f>SUM(H435:H445)</f>
        <v>378.26328744000006</v>
      </c>
    </row>
    <row r="446" spans="4:11" x14ac:dyDescent="0.3">
      <c r="D446" s="51">
        <v>1653</v>
      </c>
      <c r="F446" s="51">
        <v>5.2070183999999999</v>
      </c>
      <c r="H446" s="51">
        <v>26.035091999999999</v>
      </c>
    </row>
    <row r="447" spans="4:11" x14ac:dyDescent="0.3">
      <c r="D447" s="51">
        <v>1658</v>
      </c>
      <c r="F447" s="51">
        <v>3.28112016</v>
      </c>
      <c r="H447" s="51">
        <v>16.405600799999998</v>
      </c>
    </row>
    <row r="448" spans="4:11" x14ac:dyDescent="0.3">
      <c r="D448" s="51">
        <v>1662</v>
      </c>
      <c r="F448" s="51">
        <v>2.2112364000000002</v>
      </c>
      <c r="H448" s="51">
        <v>8.8449456000000009</v>
      </c>
    </row>
    <row r="449" spans="4:11" x14ac:dyDescent="0.3">
      <c r="D449" s="51">
        <v>1667</v>
      </c>
      <c r="F449" s="51">
        <v>1.64056008</v>
      </c>
      <c r="H449" s="51">
        <v>8.2028003999999992</v>
      </c>
    </row>
    <row r="450" spans="4:11" x14ac:dyDescent="0.3">
      <c r="D450" s="51">
        <v>1672</v>
      </c>
      <c r="F450" s="51">
        <v>1.4266908</v>
      </c>
      <c r="H450" s="51">
        <v>7.1334540000000004</v>
      </c>
    </row>
    <row r="451" spans="4:11" x14ac:dyDescent="0.3">
      <c r="D451" s="51">
        <v>1676</v>
      </c>
      <c r="F451" s="51">
        <v>1.14135264</v>
      </c>
      <c r="H451" s="51">
        <v>4.5654105600000001</v>
      </c>
    </row>
    <row r="452" spans="4:11" x14ac:dyDescent="0.3">
      <c r="D452" s="51">
        <v>1681</v>
      </c>
      <c r="F452" s="51">
        <v>0.99841488000000012</v>
      </c>
      <c r="H452" s="51">
        <v>4.9920744000000008</v>
      </c>
    </row>
    <row r="453" spans="4:11" x14ac:dyDescent="0.3">
      <c r="D453" s="51">
        <v>1686</v>
      </c>
      <c r="F453" s="51">
        <v>0.92748335999999998</v>
      </c>
      <c r="H453" s="51">
        <v>4.6374167999999996</v>
      </c>
    </row>
    <row r="454" spans="4:11" x14ac:dyDescent="0.3">
      <c r="D454" s="51">
        <v>1691</v>
      </c>
      <c r="F454" s="51">
        <v>0.85601448000000002</v>
      </c>
      <c r="H454" s="51">
        <v>4.2800723999999999</v>
      </c>
    </row>
    <row r="455" spans="4:11" x14ac:dyDescent="0.3">
      <c r="D455" s="51">
        <v>1700</v>
      </c>
      <c r="F455" s="51">
        <v>0.78454560000000007</v>
      </c>
      <c r="H455" s="51">
        <v>7.0609104000000009</v>
      </c>
      <c r="K455" s="51">
        <f>SUM(H446:H455)</f>
        <v>92.157777359999997</v>
      </c>
    </row>
    <row r="458" spans="4:11" x14ac:dyDescent="0.3">
      <c r="H458" s="51">
        <f>SUM(H8:H457)</f>
        <v>6881.1194675360093</v>
      </c>
      <c r="K458" s="51">
        <f>SUM(K455,K445,K434,K425,K414,K404,K391,K378,K365,K355,K344,K335,K325,K314,K305,K295,K285,K274,K263,K253,K235,K193,K151,K109,K79,K49)</f>
        <v>6869.6671675360021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ASA16N</vt:lpstr>
      <vt:lpstr>AtmosT</vt:lpstr>
      <vt:lpstr>Vega</vt:lpstr>
      <vt:lpstr>HPNa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 W E Martin</dc:creator>
  <cp:lastModifiedBy>Prof W E Martin</cp:lastModifiedBy>
  <dcterms:created xsi:type="dcterms:W3CDTF">2013-07-10T09:50:29Z</dcterms:created>
  <dcterms:modified xsi:type="dcterms:W3CDTF">2016-05-21T11:12:30Z</dcterms:modified>
</cp:coreProperties>
</file>